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50" windowWidth="15240" windowHeight="8490" activeTab="0"/>
  </bookViews>
  <sheets>
    <sheet name="Data" sheetId="1" r:id="rId1"/>
    <sheet name="transform_matrix" sheetId="2" r:id="rId2"/>
    <sheet name="Graph2" sheetId="3" r:id="rId3"/>
    <sheet name="SuitsData" sheetId="4" r:id="rId4"/>
  </sheets>
  <definedNames>
    <definedName name="solver_adj" localSheetId="0" hidden="1">'Data'!$B$28:$D$28,'Data'!$F$39:$G$40</definedName>
    <definedName name="solver_cvg" localSheetId="0" hidden="1">0.00001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'Data'!$AI$60</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0.02</definedName>
    <definedName name="solver_typ" localSheetId="0" hidden="1">2</definedName>
    <definedName name="solver_val" localSheetId="0" hidden="1">0</definedName>
  </definedNames>
  <calcPr fullCalcOnLoad="1"/>
</workbook>
</file>

<file path=xl/sharedStrings.xml><?xml version="1.0" encoding="utf-8"?>
<sst xmlns="http://schemas.openxmlformats.org/spreadsheetml/2006/main" count="195" uniqueCount="120">
  <si>
    <t>L</t>
  </si>
  <si>
    <t>M</t>
  </si>
  <si>
    <t>N</t>
  </si>
  <si>
    <t>[</t>
  </si>
  <si>
    <t>]</t>
  </si>
  <si>
    <t>=</t>
  </si>
  <si>
    <t>X</t>
  </si>
  <si>
    <t>[T]</t>
  </si>
  <si>
    <t>k =</t>
  </si>
  <si>
    <t>[</t>
  </si>
  <si>
    <t>]</t>
  </si>
  <si>
    <t>[T] =</t>
  </si>
  <si>
    <t>(degree)</t>
  </si>
  <si>
    <t>(radian)</t>
  </si>
  <si>
    <t>Name of Star</t>
  </si>
  <si>
    <t>RA</t>
  </si>
  <si>
    <t>Decl.</t>
  </si>
  <si>
    <t>Time</t>
  </si>
  <si>
    <t>Horizontal Angle</t>
  </si>
  <si>
    <t>Elapsed Time</t>
  </si>
  <si>
    <t>L</t>
  </si>
  <si>
    <t>M</t>
  </si>
  <si>
    <t>N</t>
  </si>
  <si>
    <t>l</t>
  </si>
  <si>
    <t>m</t>
  </si>
  <si>
    <t>n</t>
  </si>
  <si>
    <t>theta</t>
  </si>
  <si>
    <t>phi</t>
  </si>
  <si>
    <t>d_theta</t>
  </si>
  <si>
    <t>d_phi * cos(theta)</t>
  </si>
  <si>
    <t>error</t>
  </si>
  <si>
    <t>(hh:mm:ss)</t>
  </si>
  <si>
    <t>(h)</t>
  </si>
  <si>
    <t>Star 1 (Reference Star)</t>
  </si>
  <si>
    <t>Star 2 (Reference Star)</t>
  </si>
  <si>
    <t>Average Error</t>
  </si>
  <si>
    <t>degree</t>
  </si>
  <si>
    <t>Mount Error Calculation for "TAKI.BAS"   --- Developed by Toshimi Taki, April 19, 2001</t>
  </si>
  <si>
    <t>Instruction</t>
  </si>
  <si>
    <t>(1) Before use this worksheet, check that "Solver" is added-in. Solver is in "Tool" menu. If Solver is not added-in, include Solver to Excel.</t>
  </si>
  <si>
    <t>(4) Find RA and Declination of the stars from a star catalog. Star catalog of Epoch 2000 is recommended.</t>
  </si>
  <si>
    <t xml:space="preserve">     You will find average error of "TAKI.BAS" results at the bottom right in this worksheet, when you do not consider mount error in "TAKI.BAS".</t>
  </si>
  <si>
    <t xml:space="preserve">      Average error of "TAKI.BAS" with mount error consideration is shown in bottom right of this worksheet.</t>
  </si>
  <si>
    <t>TAKI.BAS</t>
  </si>
  <si>
    <t>(5) Input the data in blue cells in the table below. The data in the table are example data. Replace the data with your data.</t>
  </si>
  <si>
    <t xml:space="preserve">     Record the observation time, star name and the measured angles.</t>
  </si>
  <si>
    <t xml:space="preserve">      You can insert rows and copy existing row data if you need more rows.</t>
  </si>
  <si>
    <t>Transform Matrix</t>
  </si>
  <si>
    <t>(7) Open "Solver" in "Tool" menu and run Solver. Then you will get mount error, z1, z2 and z3.</t>
  </si>
  <si>
    <t>z1</t>
  </si>
  <si>
    <t>z2</t>
  </si>
  <si>
    <t>z3</t>
  </si>
  <si>
    <t>(6) Put zeros in red cells for z1, z2 and z3 of "Error in Mount".</t>
  </si>
  <si>
    <t>(3) Put a star in the center of the field of your telescope and read the horizontal angle and elevation. Note that the direction of the horizontal angle is measured right to left, opposite to azimuth angle.</t>
  </si>
  <si>
    <t>Original article is published in February 1989 issue of Sky &amp; Telescope magazine. Toshimi Taki, "A New Concept in Computer-aided Telescopes", Sky &amp; Telescope, February 1989, pp.194-196.</t>
  </si>
  <si>
    <t>(2) See my article in Sky &amp; Telescope for definition of angles and mount error, z1, z2 and z3.</t>
  </si>
  <si>
    <t>Data :</t>
  </si>
  <si>
    <t>Error in Mount :</t>
  </si>
  <si>
    <t xml:space="preserve">     The number of stars will be about 10 or more.</t>
  </si>
  <si>
    <t>=</t>
  </si>
  <si>
    <t>determinant [T]</t>
  </si>
  <si>
    <t>Star 3</t>
  </si>
  <si>
    <t>Elevation</t>
  </si>
  <si>
    <t xml:space="preserve">      Error in equations (12) to (14) is corrected.</t>
  </si>
  <si>
    <t>Castor</t>
  </si>
  <si>
    <t>Alphecca</t>
  </si>
  <si>
    <t>Regulus</t>
  </si>
  <si>
    <t>Jupiter</t>
  </si>
  <si>
    <t>Mizar</t>
  </si>
  <si>
    <t>Arcturus</t>
  </si>
  <si>
    <t>Spica</t>
  </si>
  <si>
    <t>Polaris</t>
  </si>
  <si>
    <t>Actual Aligned values</t>
  </si>
  <si>
    <t>Values set by scope GoTo process</t>
  </si>
  <si>
    <t>StarName</t>
  </si>
  <si>
    <t>RAStar</t>
  </si>
  <si>
    <t>DecStar</t>
  </si>
  <si>
    <t>Time</t>
  </si>
  <si>
    <t>Az</t>
  </si>
  <si>
    <t>Alt</t>
  </si>
  <si>
    <t>Time2</t>
  </si>
  <si>
    <t>Az2</t>
  </si>
  <si>
    <t>Alt2</t>
  </si>
  <si>
    <t>Align1</t>
  </si>
  <si>
    <t>Align2</t>
  </si>
  <si>
    <t>Error in Horizonal Angle</t>
  </si>
  <si>
    <t>Error in Elevation</t>
  </si>
  <si>
    <t>(degree)</t>
  </si>
  <si>
    <t>Length of Vector</t>
  </si>
  <si>
    <t>arcminute</t>
  </si>
  <si>
    <t>Star 4</t>
  </si>
  <si>
    <t>Star 5</t>
  </si>
  <si>
    <t>Star 6</t>
  </si>
  <si>
    <t>Star 7</t>
  </si>
  <si>
    <t>Star 8</t>
  </si>
  <si>
    <t>Star 9</t>
  </si>
  <si>
    <t xml:space="preserve"> --- Revision B: Revised on March 22, 2004</t>
  </si>
  <si>
    <t>Data obtained on November 3, 1993 by Toshimi Taki using 12.5" Dobsonian.</t>
  </si>
  <si>
    <t>A And</t>
  </si>
  <si>
    <t>A Umi</t>
  </si>
  <si>
    <t>A Cyg</t>
  </si>
  <si>
    <t>A Lyr</t>
  </si>
  <si>
    <t>E Peg</t>
  </si>
  <si>
    <t>D Cap</t>
  </si>
  <si>
    <t>A PsA</t>
  </si>
  <si>
    <t>B Cet</t>
  </si>
  <si>
    <t>A Cet</t>
  </si>
  <si>
    <t>A Ari</t>
  </si>
  <si>
    <t>A Tau</t>
  </si>
  <si>
    <t>A Aur</t>
  </si>
  <si>
    <t>A Per</t>
  </si>
  <si>
    <t>B Cas</t>
  </si>
  <si>
    <t>Star 10</t>
  </si>
  <si>
    <t>Star 11</t>
  </si>
  <si>
    <t>Star 12</t>
  </si>
  <si>
    <t>Star 14</t>
  </si>
  <si>
    <t>Star 15</t>
  </si>
  <si>
    <t xml:space="preserve"> --- Revision A: Revised by Toshimi Taki, December 23, 2001</t>
  </si>
  <si>
    <t>You can download "TAKI.BAS" from Sky &amp; Telescope Homepage.</t>
  </si>
  <si>
    <t>Angular Separation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</si>
</sst>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0_ "/>
    <numFmt numFmtId="186" formatCode="0.00_ "/>
    <numFmt numFmtId="187" formatCode="0.000_ "/>
    <numFmt numFmtId="188" formatCode="0.0000_ "/>
    <numFmt numFmtId="189" formatCode="0.00000_ "/>
    <numFmt numFmtId="190" formatCode="0.000000_ "/>
    <numFmt numFmtId="191" formatCode="0.0"/>
    <numFmt numFmtId="192" formatCode="0.00000"/>
    <numFmt numFmtId="193" formatCode="0.0000"/>
    <numFmt numFmtId="194" formatCode="0.000"/>
    <numFmt numFmtId="195" formatCode="0.000000"/>
    <numFmt numFmtId="196" formatCode="0.0000000"/>
    <numFmt numFmtId="197" formatCode="0.0000000_ "/>
    <numFmt numFmtId="198" formatCode="0.00000000_ "/>
    <numFmt numFmtId="199" formatCode="0.000000000_ "/>
    <numFmt numFmtId="200" formatCode="0.0000000000_ "/>
    <numFmt numFmtId="201" formatCode="0.000_);[Red]\(0.000\)"/>
  </numFmts>
  <fonts count="7">
    <font>
      <sz val="11"/>
      <name val="ＭＳ Ｐゴシック"/>
      <family val="0"/>
    </font>
    <font>
      <sz val="6"/>
      <name val="ＭＳ Ｐゴシック"/>
      <family val="3"/>
    </font>
    <font>
      <sz val="11"/>
      <name val="Arial"/>
      <family val="2"/>
    </font>
    <font>
      <b/>
      <sz val="11"/>
      <name val="Arial"/>
      <family val="2"/>
    </font>
    <font>
      <sz val="12"/>
      <name val="Arial"/>
      <family val="2"/>
    </font>
    <font>
      <b/>
      <sz val="12"/>
      <name val="Arial"/>
      <family val="2"/>
    </font>
    <font>
      <b/>
      <sz val="11"/>
      <color indexed="10"/>
      <name val="Arial"/>
      <family val="2"/>
    </font>
  </fonts>
  <fills count="5">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193" fontId="2" fillId="0" borderId="0" xfId="0" applyNumberFormat="1" applyFont="1" applyAlignment="1">
      <alignment vertical="center"/>
    </xf>
    <xf numFmtId="0" fontId="2" fillId="0" borderId="0" xfId="0" applyFont="1" applyAlignment="1">
      <alignment horizontal="center" vertical="center"/>
    </xf>
    <xf numFmtId="194" fontId="2" fillId="2" borderId="0" xfId="0" applyNumberFormat="1" applyFont="1" applyFill="1" applyAlignment="1">
      <alignment vertical="center"/>
    </xf>
    <xf numFmtId="192" fontId="2" fillId="0" borderId="0" xfId="0" applyNumberFormat="1" applyFont="1" applyAlignment="1">
      <alignment vertical="center"/>
    </xf>
    <xf numFmtId="0" fontId="2" fillId="0" borderId="0" xfId="0" applyFont="1" applyAlignment="1">
      <alignment horizontal="center" vertical="center" wrapText="1"/>
    </xf>
    <xf numFmtId="0" fontId="2" fillId="3" borderId="0" xfId="0" applyFont="1" applyFill="1" applyAlignment="1">
      <alignment horizontal="center" vertical="center"/>
    </xf>
    <xf numFmtId="21" fontId="2" fillId="3" borderId="0" xfId="0" applyNumberFormat="1" applyFont="1" applyFill="1" applyAlignment="1">
      <alignment vertical="center"/>
    </xf>
    <xf numFmtId="187" fontId="2" fillId="3" borderId="0" xfId="0" applyNumberFormat="1" applyFont="1" applyFill="1" applyAlignment="1">
      <alignment vertical="center"/>
    </xf>
    <xf numFmtId="2" fontId="2" fillId="3" borderId="0" xfId="0" applyNumberFormat="1" applyFont="1" applyFill="1" applyAlignment="1">
      <alignment vertical="center"/>
    </xf>
    <xf numFmtId="187" fontId="2" fillId="0" borderId="0" xfId="0" applyNumberFormat="1" applyFont="1" applyAlignment="1">
      <alignment vertical="center"/>
    </xf>
    <xf numFmtId="21" fontId="2" fillId="0" borderId="0" xfId="0" applyNumberFormat="1" applyFont="1" applyAlignment="1">
      <alignment vertical="center"/>
    </xf>
    <xf numFmtId="2" fontId="2" fillId="0" borderId="0" xfId="0" applyNumberFormat="1" applyFont="1" applyAlignment="1">
      <alignment vertical="center"/>
    </xf>
    <xf numFmtId="187" fontId="2" fillId="0" borderId="0" xfId="0" applyNumberFormat="1" applyFont="1" applyAlignment="1">
      <alignment horizontal="center" vertical="center" wrapText="1"/>
    </xf>
    <xf numFmtId="187" fontId="2" fillId="2" borderId="0" xfId="0" applyNumberFormat="1" applyFont="1" applyFill="1" applyAlignment="1">
      <alignment vertical="center"/>
    </xf>
    <xf numFmtId="189" fontId="2" fillId="0" borderId="0" xfId="0" applyNumberFormat="1" applyFont="1" applyAlignment="1">
      <alignment vertical="center"/>
    </xf>
    <xf numFmtId="0" fontId="3" fillId="0" borderId="0" xfId="0" applyFont="1" applyAlignment="1">
      <alignment vertical="center"/>
    </xf>
    <xf numFmtId="192" fontId="2" fillId="0" borderId="0" xfId="0" applyNumberFormat="1" applyFont="1" applyAlignment="1">
      <alignment horizontal="right" vertical="center"/>
    </xf>
    <xf numFmtId="192" fontId="2" fillId="0" borderId="0" xfId="0" applyNumberFormat="1" applyFont="1" applyAlignment="1">
      <alignment horizontal="center" vertical="center"/>
    </xf>
    <xf numFmtId="0" fontId="2" fillId="3" borderId="0" xfId="0" applyFont="1" applyFill="1" applyAlignment="1">
      <alignment vertical="center"/>
    </xf>
    <xf numFmtId="0" fontId="3" fillId="0" borderId="0" xfId="0" applyFont="1" applyAlignment="1">
      <alignment horizontal="right" vertical="center"/>
    </xf>
    <xf numFmtId="0" fontId="3" fillId="0" borderId="0" xfId="0" applyFont="1" applyAlignment="1" quotePrefix="1">
      <alignment vertical="center"/>
    </xf>
    <xf numFmtId="0" fontId="0" fillId="3" borderId="1" xfId="0" applyFill="1" applyBorder="1" applyAlignment="1">
      <alignment/>
    </xf>
    <xf numFmtId="0" fontId="0" fillId="4" borderId="1" xfId="0" applyFill="1" applyBorder="1" applyAlignment="1">
      <alignment/>
    </xf>
    <xf numFmtId="21" fontId="2" fillId="0" borderId="0" xfId="0" applyNumberFormat="1" applyFont="1" applyFill="1" applyAlignment="1">
      <alignment vertical="center"/>
    </xf>
    <xf numFmtId="187" fontId="2" fillId="0" borderId="0" xfId="0" applyNumberFormat="1" applyFont="1" applyFill="1" applyAlignment="1">
      <alignment vertical="center"/>
    </xf>
    <xf numFmtId="2" fontId="2" fillId="0" borderId="0" xfId="0" applyNumberFormat="1" applyFont="1" applyFill="1" applyAlignment="1">
      <alignment vertical="center"/>
    </xf>
    <xf numFmtId="194" fontId="2" fillId="0" borderId="0" xfId="0" applyNumberFormat="1" applyFont="1" applyAlignment="1">
      <alignment vertical="center"/>
    </xf>
    <xf numFmtId="21" fontId="2" fillId="0" borderId="0" xfId="0" applyNumberFormat="1" applyFont="1" applyFill="1" applyAlignment="1">
      <alignment horizontal="center" vertical="center"/>
    </xf>
    <xf numFmtId="187" fontId="2" fillId="0" borderId="0" xfId="0" applyNumberFormat="1" applyFont="1" applyAlignment="1">
      <alignment horizontal="center" vertical="center"/>
    </xf>
    <xf numFmtId="191" fontId="2" fillId="0" borderId="0" xfId="0" applyNumberFormat="1" applyFont="1" applyAlignment="1">
      <alignment vertical="center"/>
    </xf>
    <xf numFmtId="185" fontId="2" fillId="0" borderId="0" xfId="0" applyNumberFormat="1" applyFont="1" applyAlignment="1">
      <alignment vertical="center"/>
    </xf>
    <xf numFmtId="0" fontId="2" fillId="0" borderId="0" xfId="0" applyFont="1" applyFill="1" applyAlignment="1">
      <alignment horizontal="center" vertical="center"/>
    </xf>
    <xf numFmtId="0" fontId="6"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Pointing Error</a:t>
            </a:r>
          </a:p>
        </c:rich>
      </c:tx>
      <c:layout>
        <c:manualLayout>
          <c:xMode val="factor"/>
          <c:yMode val="factor"/>
          <c:x val="0.008"/>
          <c:y val="0.92975"/>
        </c:manualLayout>
      </c:layout>
      <c:spPr>
        <a:noFill/>
        <a:ln>
          <a:noFill/>
        </a:ln>
      </c:spPr>
    </c:title>
    <c:plotArea>
      <c:layout>
        <c:manualLayout>
          <c:xMode val="edge"/>
          <c:yMode val="edge"/>
          <c:x val="0.214"/>
          <c:y val="0.02525"/>
          <c:w val="0.57425"/>
          <c:h val="0.82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noFill/>
              <a:ln>
                <a:solidFill>
                  <a:srgbClr val="000000"/>
                </a:solidFill>
              </a:ln>
            </c:spPr>
          </c:marker>
          <c:xVal>
            <c:numRef>
              <c:f>Data!$AG$42:$AG$53</c:f>
              <c:numCache>
                <c:ptCount val="12"/>
                <c:pt idx="0">
                  <c:v>0.008261329846655547</c:v>
                </c:pt>
                <c:pt idx="1">
                  <c:v>0.001577316315661784</c:v>
                </c:pt>
                <c:pt idx="2">
                  <c:v>0.044443263309721176</c:v>
                </c:pt>
                <c:pt idx="3">
                  <c:v>-0.045535624264509446</c:v>
                </c:pt>
                <c:pt idx="4">
                  <c:v>-0.04339289897048627</c:v>
                </c:pt>
                <c:pt idx="5">
                  <c:v>-0.02520769656320113</c:v>
                </c:pt>
                <c:pt idx="6">
                  <c:v>0.041282271686501684</c:v>
                </c:pt>
                <c:pt idx="7">
                  <c:v>-0.08854502255292335</c:v>
                </c:pt>
                <c:pt idx="8">
                  <c:v>0.0761110337150555</c:v>
                </c:pt>
                <c:pt idx="9">
                  <c:v>0.005756850126198059</c:v>
                </c:pt>
                <c:pt idx="10">
                  <c:v>-0.01819381954224325</c:v>
                </c:pt>
                <c:pt idx="11">
                  <c:v>-0.03563538866061658</c:v>
                </c:pt>
              </c:numCache>
            </c:numRef>
          </c:xVal>
          <c:yVal>
            <c:numRef>
              <c:f>Data!$AH$42:$AH$53</c:f>
              <c:numCache>
                <c:ptCount val="12"/>
                <c:pt idx="0">
                  <c:v>-0.008972410695891803</c:v>
                </c:pt>
                <c:pt idx="1">
                  <c:v>-0.00978678072195313</c:v>
                </c:pt>
                <c:pt idx="2">
                  <c:v>-0.026990825952966604</c:v>
                </c:pt>
                <c:pt idx="3">
                  <c:v>-0.0024833086901295044</c:v>
                </c:pt>
                <c:pt idx="4">
                  <c:v>0.010230172215267733</c:v>
                </c:pt>
                <c:pt idx="5">
                  <c:v>0.028760209209611764</c:v>
                </c:pt>
                <c:pt idx="6">
                  <c:v>0.03569860438030719</c:v>
                </c:pt>
                <c:pt idx="7">
                  <c:v>-0.023692412993581453</c:v>
                </c:pt>
                <c:pt idx="8">
                  <c:v>0.0036121451618686302</c:v>
                </c:pt>
                <c:pt idx="9">
                  <c:v>0.04414540651196313</c:v>
                </c:pt>
                <c:pt idx="10">
                  <c:v>-0.008886916412572598</c:v>
                </c:pt>
                <c:pt idx="11">
                  <c:v>-0.020292853541463447</c:v>
                </c:pt>
              </c:numCache>
            </c:numRef>
          </c:yVal>
          <c:smooth val="0"/>
        </c:ser>
        <c:axId val="25107123"/>
        <c:axId val="55139496"/>
      </c:scatterChart>
      <c:valAx>
        <c:axId val="25107123"/>
        <c:scaling>
          <c:orientation val="minMax"/>
          <c:max val="0.4"/>
          <c:min val="-0.4"/>
        </c:scaling>
        <c:axPos val="b"/>
        <c:title>
          <c:tx>
            <c:rich>
              <a:bodyPr vert="horz" rot="0" anchor="ctr"/>
              <a:lstStyle/>
              <a:p>
                <a:pPr algn="ctr">
                  <a:defRPr/>
                </a:pPr>
                <a:r>
                  <a:rPr lang="en-US"/>
                  <a:t>Error in Horizontal Angle (degree)</a:t>
                </a:r>
              </a:p>
            </c:rich>
          </c:tx>
          <c:layout>
            <c:manualLayout>
              <c:xMode val="factor"/>
              <c:yMode val="factor"/>
              <c:x val="-0.006"/>
              <c:y val="-0.0035"/>
            </c:manualLayout>
          </c:layout>
          <c:overlay val="0"/>
          <c:spPr>
            <a:noFill/>
            <a:ln>
              <a:noFill/>
            </a:ln>
          </c:spPr>
        </c:title>
        <c:majorGridlines/>
        <c:delete val="0"/>
        <c:numFmt formatCode="0.00_ " sourceLinked="0"/>
        <c:majorTickMark val="in"/>
        <c:minorTickMark val="in"/>
        <c:tickLblPos val="nextTo"/>
        <c:crossAx val="55139496"/>
        <c:crossesAt val="-0.4"/>
        <c:crossBetween val="midCat"/>
        <c:dispUnits/>
        <c:majorUnit val="0.1"/>
        <c:minorUnit val="0.05"/>
      </c:valAx>
      <c:valAx>
        <c:axId val="55139496"/>
        <c:scaling>
          <c:orientation val="minMax"/>
          <c:max val="0.4"/>
          <c:min val="-0.4"/>
        </c:scaling>
        <c:axPos val="l"/>
        <c:title>
          <c:tx>
            <c:rich>
              <a:bodyPr vert="horz" rot="-5400000" anchor="ctr"/>
              <a:lstStyle/>
              <a:p>
                <a:pPr algn="ctr">
                  <a:defRPr/>
                </a:pPr>
                <a:r>
                  <a:rPr lang="en-US"/>
                  <a:t>Error in Elevation (degree)</a:t>
                </a:r>
              </a:p>
            </c:rich>
          </c:tx>
          <c:layout>
            <c:manualLayout>
              <c:xMode val="factor"/>
              <c:yMode val="factor"/>
              <c:x val="-0.0085"/>
              <c:y val="0.00425"/>
            </c:manualLayout>
          </c:layout>
          <c:overlay val="0"/>
          <c:spPr>
            <a:noFill/>
            <a:ln>
              <a:noFill/>
            </a:ln>
          </c:spPr>
        </c:title>
        <c:majorGridlines/>
        <c:delete val="0"/>
        <c:numFmt formatCode="0.00_ " sourceLinked="0"/>
        <c:majorTickMark val="in"/>
        <c:minorTickMark val="in"/>
        <c:tickLblPos val="nextTo"/>
        <c:crossAx val="25107123"/>
        <c:crossesAt val="-0.4"/>
        <c:crossBetween val="midCat"/>
        <c:dispUnits/>
        <c:minorUnit val="0.05"/>
      </c:valAx>
      <c:spPr>
        <a:noFill/>
        <a:ln w="12700">
          <a:solidFill/>
        </a:ln>
      </c:spPr>
    </c:plotArea>
    <c:plotVisOnly val="1"/>
    <c:dispBlanksAs val="gap"/>
    <c:showDLblsOverMax val="0"/>
  </c:chart>
  <c:spPr>
    <a:noFill/>
    <a:ln>
      <a:noFill/>
    </a:ln>
  </c:spPr>
  <c:txPr>
    <a:bodyPr vert="horz" rot="0"/>
    <a:lstStyle/>
    <a:p>
      <a:pPr>
        <a:defRPr lang="en-US" cap="none" sz="12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0.95" bottom="0.84" header="0.512" footer="0.512"/>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0.363</cdr:x>
      <cdr:y>0.18375</cdr:y>
    </cdr:from>
    <cdr:to>
      <cdr:x>0.6735</cdr:x>
      <cdr:y>0.65775</cdr:y>
    </cdr:to>
    <cdr:sp>
      <cdr:nvSpPr>
        <cdr:cNvPr id="1" name="Oval 2"/>
        <cdr:cNvSpPr>
          <a:spLocks/>
        </cdr:cNvSpPr>
      </cdr:nvSpPr>
      <cdr:spPr>
        <a:xfrm>
          <a:off x="3352800" y="1076325"/>
          <a:ext cx="2867025" cy="2800350"/>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0.54625</cdr:x>
      <cdr:y>0.18375</cdr:y>
    </cdr:from>
    <cdr:to>
      <cdr:x>0.695</cdr:x>
      <cdr:y>0.22675</cdr:y>
    </cdr:to>
    <cdr:sp>
      <cdr:nvSpPr>
        <cdr:cNvPr id="2" name="TextBox 3"/>
        <cdr:cNvSpPr txBox="1">
          <a:spLocks noChangeArrowheads="1"/>
        </cdr:cNvSpPr>
      </cdr:nvSpPr>
      <cdr:spPr>
        <a:xfrm>
          <a:off x="5038725" y="1076325"/>
          <a:ext cx="1371600" cy="257175"/>
        </a:xfrm>
        <a:prstGeom prst="rect">
          <a:avLst/>
        </a:prstGeom>
        <a:solidFill>
          <a:srgbClr val="FFFFFF"/>
        </a:solidFill>
        <a:ln w="9525" cmpd="sng">
          <a:noFill/>
        </a:ln>
      </cdr:spPr>
      <cdr:txBody>
        <a:bodyPr vertOverflow="clip" wrap="square"/>
        <a:p>
          <a:pPr algn="ctr">
            <a:defRPr/>
          </a:pPr>
          <a:r>
            <a:rPr lang="en-US" cap="none" sz="1200" b="0" i="0" u="none" baseline="0"/>
            <a:t>0.5 degree field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905500"/>
    <xdr:graphicFrame>
      <xdr:nvGraphicFramePr>
        <xdr:cNvPr id="1" name="Shape 1025"/>
        <xdr:cNvGraphicFramePr/>
      </xdr:nvGraphicFramePr>
      <xdr:xfrm>
        <a:off x="0" y="0"/>
        <a:ext cx="9239250" cy="5905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L95"/>
  <sheetViews>
    <sheetView tabSelected="1" zoomScale="75" zoomScaleNormal="75" workbookViewId="0" topLeftCell="A1">
      <selection activeCell="A1" sqref="A1"/>
    </sheetView>
  </sheetViews>
  <sheetFormatPr defaultColWidth="9.00390625" defaultRowHeight="13.5"/>
  <cols>
    <col min="1" max="1" width="23.875" style="0" customWidth="1"/>
    <col min="2" max="2" width="12.25390625" style="0" customWidth="1"/>
    <col min="3" max="3" width="10.75390625" style="0" customWidth="1"/>
    <col min="4" max="4" width="8.75390625" style="0" customWidth="1"/>
    <col min="5" max="5" width="11.375" style="0" customWidth="1"/>
    <col min="6" max="7" width="8.75390625" style="0" customWidth="1"/>
    <col min="8" max="8" width="10.625" style="0" customWidth="1"/>
    <col min="9" max="9" width="8.75390625" style="0" customWidth="1"/>
    <col min="10" max="10" width="10.25390625" style="0" customWidth="1"/>
    <col min="11" max="11" width="8.875" style="0" customWidth="1"/>
    <col min="12" max="24" width="8.75390625" style="0" customWidth="1"/>
    <col min="25" max="25" width="9.625" style="0" customWidth="1"/>
    <col min="26" max="31" width="8.75390625" style="0" customWidth="1"/>
    <col min="32" max="32" width="10.00390625" style="0" customWidth="1"/>
    <col min="33" max="33" width="8.75390625" style="0" customWidth="1"/>
    <col min="34" max="34" width="10.25390625" style="0" customWidth="1"/>
    <col min="35" max="77" width="8.75390625" style="0" customWidth="1"/>
  </cols>
  <sheetData>
    <row r="1" spans="1:220" ht="15">
      <c r="A1" s="18" t="s">
        <v>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row>
    <row r="2" spans="1:220" ht="15">
      <c r="A2" s="1"/>
      <c r="B2" s="1"/>
      <c r="C2" s="23" t="s">
        <v>117</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row>
    <row r="3" spans="1:220" ht="15">
      <c r="A3" s="1"/>
      <c r="B3" s="1"/>
      <c r="C3" s="18" t="s">
        <v>63</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row>
    <row r="4" spans="1:220" ht="15">
      <c r="A4" s="1"/>
      <c r="B4" s="1"/>
      <c r="C4" s="35" t="s">
        <v>96</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row>
    <row r="5" spans="1:220" ht="15">
      <c r="A5" s="18" t="s">
        <v>43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row>
    <row r="6" spans="1:220" ht="14.25">
      <c r="A6" s="1" t="s">
        <v>118</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row>
    <row r="7" spans="1:220" ht="14.25">
      <c r="A7" s="1" t="s">
        <v>54</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row>
    <row r="8" spans="1:220" ht="14.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row>
    <row r="9" spans="1:220" ht="15">
      <c r="A9" s="18" t="s">
        <v>38</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row>
    <row r="10" spans="1:220" ht="14.25">
      <c r="A10" s="1" t="s">
        <v>39</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row>
    <row r="11" spans="1:220" ht="14.25">
      <c r="A11" s="1" t="s">
        <v>55</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row>
    <row r="12" spans="1:220" ht="14.25">
      <c r="A12" s="1" t="s">
        <v>53</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row>
    <row r="13" spans="1:220" ht="14.25">
      <c r="A13" s="1" t="s">
        <v>45</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row>
    <row r="14" spans="1:220" ht="14.25">
      <c r="A14" s="1" t="s">
        <v>58</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row>
    <row r="15" spans="1:220" ht="14.25">
      <c r="A15" s="1" t="s">
        <v>40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row>
    <row r="16" spans="1:220" ht="14.25">
      <c r="A16" s="1" t="s">
        <v>46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row>
    <row r="17" spans="1:220" ht="14.25">
      <c r="A17" s="1" t="s">
        <v>44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row>
    <row r="18" spans="1:220" ht="14.25">
      <c r="A18" s="1" t="s">
        <v>52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row>
    <row r="19" spans="1:220" ht="14.25">
      <c r="A19" s="1" t="s">
        <v>41</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row>
    <row r="20" spans="1:220" ht="14.25">
      <c r="A20" s="1" t="s">
        <v>48</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row>
    <row r="21" spans="1:220" ht="14.25">
      <c r="A21" s="1" t="s">
        <v>42</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row>
    <row r="22" spans="1:220"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row>
    <row r="23" spans="1:220" ht="14.25">
      <c r="A23" s="1"/>
      <c r="B23" s="1"/>
      <c r="C23" s="1"/>
      <c r="D23" s="1"/>
      <c r="E23" s="1"/>
      <c r="F23" s="6"/>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row>
    <row r="24" spans="1:220" ht="14.25">
      <c r="A24" s="2" t="s">
        <v>8</v>
      </c>
      <c r="B24" s="1">
        <v>1.002738</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row>
    <row r="25" spans="1:220" ht="14.25">
      <c r="A25" s="1"/>
      <c r="B25" s="1"/>
      <c r="C25" s="1"/>
      <c r="D25" s="1"/>
      <c r="E25" s="1"/>
      <c r="F25" s="1"/>
      <c r="G25" s="1"/>
      <c r="H25" s="1"/>
      <c r="I25" s="1"/>
      <c r="J25" s="1"/>
      <c r="K25" s="1" t="s">
        <v>47</v>
      </c>
      <c r="L25" s="1"/>
      <c r="M25" s="2" t="s">
        <v>9</v>
      </c>
      <c r="N25" s="3">
        <f>transform_matrix!P4</f>
        <v>-0.3018467460881878</v>
      </c>
      <c r="O25" s="3">
        <f>transform_matrix!Q4</f>
        <v>-0.7798188892443649</v>
      </c>
      <c r="P25" s="3">
        <f>transform_matrix!R4</f>
        <v>0.548524288917887</v>
      </c>
      <c r="Q25" s="1" t="s">
        <v>10</v>
      </c>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row>
    <row r="26" spans="1:220" ht="14.25">
      <c r="A26" s="1"/>
      <c r="B26" s="4" t="s">
        <v>49</v>
      </c>
      <c r="C26" s="4" t="s">
        <v>50</v>
      </c>
      <c r="D26" s="4" t="s">
        <v>51</v>
      </c>
      <c r="E26" s="4" t="s">
        <v>49</v>
      </c>
      <c r="F26" s="4" t="s">
        <v>50</v>
      </c>
      <c r="G26" s="4" t="s">
        <v>51</v>
      </c>
      <c r="H26" s="1"/>
      <c r="I26" s="1"/>
      <c r="J26" s="1"/>
      <c r="K26" s="1"/>
      <c r="L26" s="2" t="s">
        <v>11</v>
      </c>
      <c r="M26" s="2" t="s">
        <v>9</v>
      </c>
      <c r="N26" s="3">
        <f>transform_matrix!P5</f>
        <v>0.4837032176775804</v>
      </c>
      <c r="O26" s="3">
        <f>transform_matrix!Q5</f>
        <v>-0.6209879848480279</v>
      </c>
      <c r="P26" s="3">
        <f>transform_matrix!R5</f>
        <v>-0.6169208997572753</v>
      </c>
      <c r="Q26" s="1" t="s">
        <v>10</v>
      </c>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row>
    <row r="27" spans="1:220" ht="14.25">
      <c r="A27" s="1"/>
      <c r="B27" s="4" t="s">
        <v>12</v>
      </c>
      <c r="C27" s="4" t="s">
        <v>12</v>
      </c>
      <c r="D27" s="4" t="s">
        <v>12</v>
      </c>
      <c r="E27" s="4" t="s">
        <v>13</v>
      </c>
      <c r="F27" s="4" t="s">
        <v>13</v>
      </c>
      <c r="G27" s="4" t="s">
        <v>13</v>
      </c>
      <c r="H27" s="1"/>
      <c r="I27" s="1"/>
      <c r="J27" s="1"/>
      <c r="K27" s="1"/>
      <c r="L27" s="1"/>
      <c r="M27" s="2" t="s">
        <v>9</v>
      </c>
      <c r="N27" s="3">
        <f>transform_matrix!P6</f>
        <v>0.8216867070994798</v>
      </c>
      <c r="O27" s="3">
        <f>transform_matrix!Q6</f>
        <v>0.07909840613928729</v>
      </c>
      <c r="P27" s="3">
        <f>transform_matrix!R6</f>
        <v>0.564388974671995</v>
      </c>
      <c r="Q27" s="1" t="s">
        <v>10</v>
      </c>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row>
    <row r="28" spans="1:220" ht="15">
      <c r="A28" s="22" t="s">
        <v>57</v>
      </c>
      <c r="B28" s="5">
        <v>-0.10570471321406007</v>
      </c>
      <c r="C28" s="5">
        <v>0.12955394904958012</v>
      </c>
      <c r="D28" s="5">
        <v>-1.4499493064888116</v>
      </c>
      <c r="E28" s="6">
        <f>B28/180*PI()</f>
        <v>-0.0018448952804617056</v>
      </c>
      <c r="F28" s="6">
        <f>C28/180*PI()</f>
        <v>0.0022611429698761515</v>
      </c>
      <c r="G28" s="6">
        <f>D28/180*PI()</f>
        <v>-0.025306389385238142</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row>
    <row r="29" spans="1:220" ht="14.25">
      <c r="A29" s="1"/>
      <c r="B29" s="29"/>
      <c r="C29" s="29"/>
      <c r="D29" s="29"/>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row>
    <row r="30" spans="1:220" ht="15">
      <c r="A30" s="22" t="s">
        <v>56</v>
      </c>
      <c r="B30" s="21" t="s">
        <v>97</v>
      </c>
      <c r="C30" s="21"/>
      <c r="D30" s="21"/>
      <c r="E30" s="21"/>
      <c r="F30" s="21"/>
      <c r="G30" s="21"/>
      <c r="H30" s="2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row>
    <row r="31" spans="1:220"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row>
    <row r="32" spans="1:220" ht="28.5">
      <c r="A32" s="1"/>
      <c r="B32" s="4" t="s">
        <v>14</v>
      </c>
      <c r="C32" s="4" t="s">
        <v>15</v>
      </c>
      <c r="D32" s="4" t="s">
        <v>16</v>
      </c>
      <c r="E32" s="4" t="s">
        <v>17</v>
      </c>
      <c r="F32" s="7" t="s">
        <v>18</v>
      </c>
      <c r="G32" s="7" t="s">
        <v>62</v>
      </c>
      <c r="H32" s="4" t="s">
        <v>17</v>
      </c>
      <c r="I32" s="7" t="s">
        <v>19</v>
      </c>
      <c r="J32" s="4" t="s">
        <v>15</v>
      </c>
      <c r="K32" s="4" t="s">
        <v>16</v>
      </c>
      <c r="L32" s="7" t="s">
        <v>18</v>
      </c>
      <c r="M32" s="7" t="s">
        <v>62</v>
      </c>
      <c r="N32" s="4" t="s">
        <v>20</v>
      </c>
      <c r="O32" s="4" t="s">
        <v>21</v>
      </c>
      <c r="P32" s="4" t="s">
        <v>22</v>
      </c>
      <c r="Q32" s="4" t="s">
        <v>23</v>
      </c>
      <c r="R32" s="4" t="s">
        <v>24</v>
      </c>
      <c r="S32" s="4" t="s">
        <v>25</v>
      </c>
      <c r="T32" s="4" t="s">
        <v>26</v>
      </c>
      <c r="U32" s="4" t="s">
        <v>27</v>
      </c>
      <c r="V32" s="4" t="s">
        <v>23</v>
      </c>
      <c r="W32" s="4" t="s">
        <v>24</v>
      </c>
      <c r="X32" s="4" t="s">
        <v>25</v>
      </c>
      <c r="Y32" s="7" t="s">
        <v>88</v>
      </c>
      <c r="Z32" s="4" t="s">
        <v>23</v>
      </c>
      <c r="AA32" s="4" t="s">
        <v>24</v>
      </c>
      <c r="AB32" s="4" t="s">
        <v>25</v>
      </c>
      <c r="AC32" s="4" t="s">
        <v>26</v>
      </c>
      <c r="AD32" s="4" t="s">
        <v>27</v>
      </c>
      <c r="AE32" s="4" t="s">
        <v>28</v>
      </c>
      <c r="AF32" s="7" t="s">
        <v>29</v>
      </c>
      <c r="AG32" s="4" t="s">
        <v>28</v>
      </c>
      <c r="AH32" s="7" t="s">
        <v>29</v>
      </c>
      <c r="AI32" s="4" t="s">
        <v>30</v>
      </c>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row>
    <row r="33" spans="1:220" ht="14.25">
      <c r="A33" s="1"/>
      <c r="B33" s="4"/>
      <c r="C33" s="4" t="s">
        <v>31</v>
      </c>
      <c r="D33" s="4" t="s">
        <v>12</v>
      </c>
      <c r="E33" s="4" t="s">
        <v>31</v>
      </c>
      <c r="F33" s="4" t="s">
        <v>12</v>
      </c>
      <c r="G33" s="4" t="s">
        <v>12</v>
      </c>
      <c r="H33" s="4" t="s">
        <v>32</v>
      </c>
      <c r="I33" s="4" t="s">
        <v>32</v>
      </c>
      <c r="J33" s="4" t="s">
        <v>13</v>
      </c>
      <c r="K33" s="4" t="s">
        <v>13</v>
      </c>
      <c r="L33" s="4" t="s">
        <v>13</v>
      </c>
      <c r="M33" s="4" t="s">
        <v>13</v>
      </c>
      <c r="N33" s="4"/>
      <c r="O33" s="4"/>
      <c r="P33" s="4"/>
      <c r="Q33" s="4"/>
      <c r="R33" s="4"/>
      <c r="S33" s="4"/>
      <c r="T33" s="4" t="s">
        <v>13</v>
      </c>
      <c r="U33" s="4" t="s">
        <v>13</v>
      </c>
      <c r="V33" s="4"/>
      <c r="W33" s="4"/>
      <c r="X33" s="4"/>
      <c r="Y33" s="4"/>
      <c r="Z33" s="4"/>
      <c r="AA33" s="4"/>
      <c r="AB33" s="4"/>
      <c r="AC33" s="4" t="s">
        <v>13</v>
      </c>
      <c r="AD33" s="4" t="s">
        <v>13</v>
      </c>
      <c r="AE33" s="4" t="s">
        <v>13</v>
      </c>
      <c r="AF33" s="4" t="s">
        <v>13</v>
      </c>
      <c r="AG33" s="4" t="s">
        <v>12</v>
      </c>
      <c r="AH33" s="4" t="s">
        <v>12</v>
      </c>
      <c r="AI33" s="4" t="s">
        <v>12</v>
      </c>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row>
    <row r="34" spans="1:220" ht="14.25">
      <c r="A34" s="1" t="s">
        <v>33</v>
      </c>
      <c r="B34" s="30" t="str">
        <f aca="true" t="shared" si="0" ref="B34:G35">B42</f>
        <v>A And</v>
      </c>
      <c r="C34" s="26">
        <f t="shared" si="0"/>
        <v>0.005486111111111112</v>
      </c>
      <c r="D34" s="27">
        <f t="shared" si="0"/>
        <v>29.038</v>
      </c>
      <c r="E34" s="26">
        <f t="shared" si="0"/>
        <v>0.8943981481481482</v>
      </c>
      <c r="F34" s="28">
        <f t="shared" si="0"/>
        <v>99.24648157700217</v>
      </c>
      <c r="G34" s="28">
        <f t="shared" si="0"/>
        <v>85.328</v>
      </c>
      <c r="H34" s="12">
        <f>E34*24</f>
        <v>21.465555555555557</v>
      </c>
      <c r="I34" s="12">
        <f>0</f>
        <v>0</v>
      </c>
      <c r="J34" s="12">
        <f>C34*360/180*PI()</f>
        <v>0.034470252726888015</v>
      </c>
      <c r="K34" s="12">
        <f>D34/180*PI()</f>
        <v>0.5068087081941134</v>
      </c>
      <c r="L34" s="12">
        <f>(F34+F39)/180*PI()</f>
        <v>1.730656648620581</v>
      </c>
      <c r="M34" s="12">
        <f>(G34+G39)/180*PI()</f>
        <v>1.4893988382229915</v>
      </c>
      <c r="N34" s="12">
        <f>COS(K34)*COS(J34-$B$24*I34*15/180*PI())</f>
        <v>0.8737786086221537</v>
      </c>
      <c r="O34" s="12">
        <f>COS(K34)*SIN(J34-$B$24*I34*15/180*PI())</f>
        <v>0.030131304400444228</v>
      </c>
      <c r="P34" s="12">
        <f>SIN(K34)</f>
        <v>0.4853895833343159</v>
      </c>
      <c r="Q34" s="12">
        <f>COS(M34+$G$28)*COS(L34)*COS($F$28)-SIN($F$28)*COS($E$28)*SIN(L34)+SIN($E$28)*COS($F$28)*SIN(M34+$G$28)*SIN(L34)</f>
        <v>-0.020996214096494534</v>
      </c>
      <c r="R34" s="12">
        <f>COS(M34+$G$28)*SIN(L34)*COS($F$28)+SIN($F$28)*COS($E$28)*COS(L34)-SIN($E$28)*COS($F$28)*SIN(M34+$G$28)*COS(L34)</f>
        <v>0.10449136804448547</v>
      </c>
      <c r="S34" s="12">
        <f>SIN(M34+$G$28)*COS($E$28)*COS($F$28)+SIN($E$28)*SIN($F$28)</f>
        <v>0.9943041350601968</v>
      </c>
      <c r="T34" s="12"/>
      <c r="U34" s="12"/>
      <c r="V34" s="12"/>
      <c r="W34" s="12"/>
      <c r="X34" s="12"/>
      <c r="Y34" s="12"/>
      <c r="Z34" s="12"/>
      <c r="AA34" s="12"/>
      <c r="AB34" s="12"/>
      <c r="AC34" s="12"/>
      <c r="AD34" s="12"/>
      <c r="AE34" s="12"/>
      <c r="AF34" s="12"/>
      <c r="AG34" s="12"/>
      <c r="AH34" s="12"/>
      <c r="AI34" s="12"/>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row>
    <row r="35" spans="1:220" ht="14.25">
      <c r="A35" s="1" t="s">
        <v>34</v>
      </c>
      <c r="B35" s="30" t="str">
        <f t="shared" si="0"/>
        <v>A Umi</v>
      </c>
      <c r="C35" s="26">
        <f t="shared" si="0"/>
        <v>0.0984375</v>
      </c>
      <c r="D35" s="27">
        <f t="shared" si="0"/>
        <v>89.222</v>
      </c>
      <c r="E35" s="26">
        <f t="shared" si="0"/>
        <v>0.9007175925925925</v>
      </c>
      <c r="F35" s="28">
        <f t="shared" si="0"/>
        <v>310.9797791818583</v>
      </c>
      <c r="G35" s="28">
        <f t="shared" si="0"/>
        <v>36.497</v>
      </c>
      <c r="H35" s="12">
        <f>E35*24</f>
        <v>21.61722222222222</v>
      </c>
      <c r="I35" s="12">
        <f>H35-H$34</f>
        <v>0.15166666666666373</v>
      </c>
      <c r="J35" s="12">
        <f>C35*360/180*PI()</f>
        <v>0.6185010536754905</v>
      </c>
      <c r="K35" s="12">
        <f>D35/180*PI()</f>
        <v>1.5572176652143808</v>
      </c>
      <c r="L35" s="12">
        <f>(F35+F40)/180*PI()</f>
        <v>5.4274122794532875</v>
      </c>
      <c r="M35" s="12">
        <f>(G35+G40)/180*PI()</f>
        <v>0.6370203467367261</v>
      </c>
      <c r="N35" s="12">
        <f>COS(K35)*COS(J35-$B$24*I35*15/180*PI())</f>
        <v>0.011367461427012776</v>
      </c>
      <c r="O35" s="12">
        <f>COS(K35)*SIN(J35-$B$24*I35*15/180*PI())</f>
        <v>0.0074262735810870315</v>
      </c>
      <c r="P35" s="12">
        <f>SIN(K35)</f>
        <v>0.9999078113913323</v>
      </c>
      <c r="Q35" s="12">
        <f>COS(M35+$G$28)*COS(L35)*COS($F$28)-SIN($F$28)*COS($E$28)*SIN(L35)+SIN($E$28)*COS($F$28)*SIN(M35+$G$28)*SIN(L35)</f>
        <v>0.5392513415686163</v>
      </c>
      <c r="R35" s="12">
        <f>COS(M35+$G$28)*SIN(L35)*COS($F$28)+SIN($F$28)*COS($E$28)*COS(L35)-SIN($E$28)*COS($F$28)*SIN(M35+$G$28)*COS(L35)</f>
        <v>-0.6159771756748462</v>
      </c>
      <c r="S35" s="12">
        <f>SIN(M35+$G$28)*COS($E$28)*COS($F$28)+SIN($E$28)*SIN($F$28)</f>
        <v>0.5742648427895334</v>
      </c>
      <c r="T35" s="12"/>
      <c r="U35" s="12"/>
      <c r="V35" s="12"/>
      <c r="W35" s="12"/>
      <c r="X35" s="12"/>
      <c r="Y35" s="12"/>
      <c r="Z35" s="12"/>
      <c r="AA35" s="12"/>
      <c r="AB35" s="12"/>
      <c r="AC35" s="12"/>
      <c r="AD35" s="12"/>
      <c r="AE35" s="12"/>
      <c r="AF35" s="12"/>
      <c r="AG35" s="12"/>
      <c r="AH35" s="12"/>
      <c r="AI35" s="12"/>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row>
    <row r="36" spans="1:220" ht="14.25">
      <c r="A36" s="1"/>
      <c r="B36" s="4"/>
      <c r="C36" s="13"/>
      <c r="D36" s="12"/>
      <c r="E36" s="13"/>
      <c r="F36" s="14"/>
      <c r="G36" s="14"/>
      <c r="H36" s="12"/>
      <c r="I36" s="12"/>
      <c r="J36" s="12"/>
      <c r="K36" s="12"/>
      <c r="L36" s="12"/>
      <c r="M36" s="12"/>
      <c r="N36" s="12">
        <f>(O34*P35-P34*O35)/SQRT(($O$34*$P$35-$P$34*$O$35)^2+($P$34*$N$35-$N$34*$P$35)^2+($N$34*$O$35-$O$34*$N$35)^2)</f>
        <v>0.030536115668283133</v>
      </c>
      <c r="O36" s="12">
        <f>(P34*N35-N34*P35)/SQRT(($O$34*$P$35-$P$34*$O$35)^2+($P$34*$N$35-$N$34*$P$35)^2+($N$34*$O$35-$O$34*$N$35)^2)</f>
        <v>-0.9995086160802208</v>
      </c>
      <c r="P36" s="12">
        <f>(N34*O35-O34*N35)/SQRT(($O$34*$P$35-$P$34*$O$35)^2+($P$34*$N$35-$N$34*$P$35)^2+($N$34*$O$35-$O$34*$N$35)^2)</f>
        <v>0.007076158653896409</v>
      </c>
      <c r="Q36" s="12">
        <f>(R34*S35-S34*R35)/SQRT(($R$34*$S$35-$S$34*$R$35)^2+($S$34*$Q$35-$Q$34*$S$35)^2+($Q$34*$R$35-$R$34*$Q$35)^2)</f>
        <v>0.7740999165231051</v>
      </c>
      <c r="R36" s="12">
        <f>(S34*Q35-Q34*S35)/SQRT(($R$34*$S$35-$S$34*$R$35)^2+($S$34*$Q$35-$Q$34*$S$35)^2+($Q$34*$R$35-$R$34*$Q$35)^2)</f>
        <v>0.6310878285784338</v>
      </c>
      <c r="S36" s="12">
        <f>(Q34*R35-R34*Q35)/SQRT(($R$34*$S$35-$S$34*$R$35)^2+($S$34*$Q$35-$Q$34*$S$35)^2+($Q$34*$R$35-$R$34*$Q$35)^2)</f>
        <v>-0.04997471219606093</v>
      </c>
      <c r="T36" s="12"/>
      <c r="U36" s="12"/>
      <c r="V36" s="12"/>
      <c r="W36" s="12"/>
      <c r="X36" s="12"/>
      <c r="Y36" s="12"/>
      <c r="Z36" s="12"/>
      <c r="AA36" s="12"/>
      <c r="AB36" s="12"/>
      <c r="AC36" s="12"/>
      <c r="AD36" s="12"/>
      <c r="AE36" s="12"/>
      <c r="AF36" s="12"/>
      <c r="AG36" s="12"/>
      <c r="AH36" s="12"/>
      <c r="AI36" s="12"/>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row>
    <row r="37" spans="1:220" ht="42.75">
      <c r="A37" s="1"/>
      <c r="B37" s="4"/>
      <c r="C37" s="13"/>
      <c r="D37" s="12"/>
      <c r="E37" s="13"/>
      <c r="F37" s="15" t="s">
        <v>85</v>
      </c>
      <c r="G37" s="15" t="s">
        <v>86</v>
      </c>
      <c r="H37" s="15" t="s">
        <v>119</v>
      </c>
      <c r="K37" s="15"/>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row>
    <row r="38" spans="1:220" ht="14.25">
      <c r="A38" s="1"/>
      <c r="B38" s="4"/>
      <c r="C38" s="13"/>
      <c r="D38" s="12"/>
      <c r="E38" s="13"/>
      <c r="F38" s="31" t="s">
        <v>87</v>
      </c>
      <c r="G38" s="31" t="s">
        <v>87</v>
      </c>
      <c r="H38" s="31" t="s">
        <v>87</v>
      </c>
      <c r="K38" s="31"/>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row>
    <row r="39" spans="1:220" ht="14.25">
      <c r="A39" s="1" t="s">
        <v>33</v>
      </c>
      <c r="B39" s="34" t="str">
        <f>B42</f>
        <v>A And</v>
      </c>
      <c r="C39" s="26"/>
      <c r="D39" s="27"/>
      <c r="E39" s="26"/>
      <c r="F39" s="16">
        <v>-0.08715982478738073</v>
      </c>
      <c r="G39" s="16">
        <v>0.008267441865489571</v>
      </c>
      <c r="H39" s="33">
        <f>ACOS(SIN(K34)*SIN(K35)+COS(K34)*COS(K35)*COS(J34-J35))/PI()*180</f>
        <v>60.31385927206476</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row>
    <row r="40" spans="1:220" ht="14.25">
      <c r="A40" s="1" t="s">
        <v>34</v>
      </c>
      <c r="B40" s="34" t="str">
        <f>B43</f>
        <v>A Umi</v>
      </c>
      <c r="C40" s="26"/>
      <c r="D40" s="27"/>
      <c r="E40" s="26"/>
      <c r="F40" s="16">
        <v>-0.011961891707159583</v>
      </c>
      <c r="G40" s="16">
        <v>0.0015773319747186243</v>
      </c>
      <c r="H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row>
    <row r="41" spans="1:220" ht="14.25">
      <c r="A41" s="1"/>
      <c r="B41" s="4"/>
      <c r="C41" s="1"/>
      <c r="D41" s="12"/>
      <c r="E41" s="1"/>
      <c r="F41" s="14"/>
      <c r="G41" s="14"/>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row>
    <row r="42" spans="1:220" ht="14.25">
      <c r="A42" s="1" t="s">
        <v>33</v>
      </c>
      <c r="B42" s="8" t="s">
        <v>98</v>
      </c>
      <c r="C42" s="9">
        <v>0.005486111111111112</v>
      </c>
      <c r="D42" s="10">
        <v>29.038</v>
      </c>
      <c r="E42" s="9">
        <v>0.8943981481481482</v>
      </c>
      <c r="F42" s="11">
        <v>99.24648157700217</v>
      </c>
      <c r="G42" s="11">
        <v>85.328</v>
      </c>
      <c r="H42" s="12">
        <f aca="true" t="shared" si="1" ref="H42:H50">E42*24</f>
        <v>21.465555555555557</v>
      </c>
      <c r="I42" s="12">
        <f aca="true" t="shared" si="2" ref="I42:I55">H42-H$34</f>
        <v>0</v>
      </c>
      <c r="J42" s="12">
        <f aca="true" t="shared" si="3" ref="J42:J50">C42*360/180*PI()</f>
        <v>0.034470252726888015</v>
      </c>
      <c r="K42" s="12">
        <f aca="true" t="shared" si="4" ref="K42:K50">D42/180*PI()</f>
        <v>0.5068087081941134</v>
      </c>
      <c r="L42" s="12">
        <f aca="true" t="shared" si="5" ref="L42:L50">F42/180*PI()</f>
        <v>1.732177874538582</v>
      </c>
      <c r="M42" s="12">
        <f aca="true" t="shared" si="6" ref="M42:M50">G42/180*PI()</f>
        <v>1.4892545441417215</v>
      </c>
      <c r="N42" s="12">
        <f aca="true" t="shared" si="7" ref="N42:N47">COS(K42)*COS(J42-$B$24*I42*15/180*PI())</f>
        <v>0.8737786086221537</v>
      </c>
      <c r="O42" s="12">
        <f aca="true" t="shared" si="8" ref="O42:O47">COS(K42)*SIN(J42-$B$24*I42*15/180*PI())</f>
        <v>0.030131304400444228</v>
      </c>
      <c r="P42" s="12">
        <f aca="true" t="shared" si="9" ref="P42:P47">SIN(K42)</f>
        <v>0.4853895833343159</v>
      </c>
      <c r="Q42" s="12">
        <f aca="true" t="shared" si="10" ref="Q42:Q48">COS(M42+$G$28)*COS(L42)*COS($F$28)-SIN($F$28)*COS($E$28)*SIN(L42)+SIN($E$28)*COS($F$28)*SIN(M42+$G$28)*SIN(L42)</f>
        <v>-0.021178170068319953</v>
      </c>
      <c r="R42" s="12">
        <f aca="true" t="shared" si="11" ref="R42:R48">COS(M42+$G$28)*SIN(L42)*COS($F$28)+SIN($F$28)*COS($E$28)*COS(L42)-SIN($E$28)*COS($F$28)*SIN(M42+$G$28)*COS(L42)</f>
        <v>0.10460091942515921</v>
      </c>
      <c r="S42" s="12">
        <f aca="true" t="shared" si="12" ref="S42:S48">SIN(M42+$G$28)*COS($E$28)*COS($F$28)+SIN($E$28)*SIN($F$28)</f>
        <v>0.9942887572370356</v>
      </c>
      <c r="T42" s="12">
        <f aca="true" t="shared" si="13" ref="T42:T55">ASIN(S42)</f>
        <v>1.4638693663021312</v>
      </c>
      <c r="U42" s="12">
        <f aca="true" t="shared" si="14" ref="U42:U48">ATAN2(Q42,R42)</f>
        <v>1.7705622823615443</v>
      </c>
      <c r="V42" s="12">
        <f aca="true" t="shared" si="15" ref="V42:V48">$N$25*N42+$O$25*O42+$P$25*P42</f>
        <v>-0.020996214096494437</v>
      </c>
      <c r="W42" s="12">
        <f aca="true" t="shared" si="16" ref="W42:W48">$N$26*N42+$O$26*O42+$P$26*P42</f>
        <v>0.10449136804448544</v>
      </c>
      <c r="X42" s="12">
        <f aca="true" t="shared" si="17" ref="X42:X48">$N$27*N42+$O$27*O42+$P$27*P42</f>
        <v>0.9943041350601969</v>
      </c>
      <c r="Y42" s="17">
        <f>SQRT(V42^2+W42^2+X42^2)</f>
        <v>1</v>
      </c>
      <c r="Z42" s="12">
        <f>V42/Y42</f>
        <v>-0.020996214096494437</v>
      </c>
      <c r="AA42" s="12">
        <f>W42/Y42</f>
        <v>0.10449136804448544</v>
      </c>
      <c r="AB42" s="12">
        <f>X42/Y42</f>
        <v>0.9943041350601969</v>
      </c>
      <c r="AC42" s="12">
        <f>ASIN(AB42)</f>
        <v>1.4640135537085486</v>
      </c>
      <c r="AD42" s="12">
        <f>ATAN2(Z42,AA42)</f>
        <v>1.769092980679586</v>
      </c>
      <c r="AE42" s="12">
        <f>AC42-T42</f>
        <v>0.00014418740641741756</v>
      </c>
      <c r="AF42" s="12">
        <f>(AD42-U42)*COS(AC42)</f>
        <v>-0.00015659810848446762</v>
      </c>
      <c r="AG42" s="12">
        <f>AE42*180/PI()</f>
        <v>0.008261329846655547</v>
      </c>
      <c r="AH42" s="12">
        <f>AF42*180/PI()</f>
        <v>-0.008972410695891803</v>
      </c>
      <c r="AI42" s="12">
        <f aca="true" t="shared" si="18" ref="AI42:AI50">SQRT(AG42^2+AH42^2)</f>
        <v>0.012196463607578853</v>
      </c>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row>
    <row r="43" spans="1:220" ht="14.25">
      <c r="A43" s="1" t="s">
        <v>34</v>
      </c>
      <c r="B43" s="8" t="s">
        <v>99</v>
      </c>
      <c r="C43" s="9">
        <v>0.0984375</v>
      </c>
      <c r="D43" s="10">
        <v>89.222</v>
      </c>
      <c r="E43" s="9">
        <v>0.9007175925925925</v>
      </c>
      <c r="F43" s="11">
        <v>310.9797791818583</v>
      </c>
      <c r="G43" s="11">
        <v>36.497</v>
      </c>
      <c r="H43" s="12">
        <f t="shared" si="1"/>
        <v>21.61722222222222</v>
      </c>
      <c r="I43" s="12">
        <f t="shared" si="2"/>
        <v>0.15166666666666373</v>
      </c>
      <c r="J43" s="12">
        <f t="shared" si="3"/>
        <v>0.6185010536754905</v>
      </c>
      <c r="K43" s="12">
        <f t="shared" si="4"/>
        <v>1.5572176652143808</v>
      </c>
      <c r="L43" s="12">
        <f t="shared" si="5"/>
        <v>5.427621053848346</v>
      </c>
      <c r="M43" s="12">
        <f t="shared" si="6"/>
        <v>0.6369928171003705</v>
      </c>
      <c r="N43" s="12">
        <f t="shared" si="7"/>
        <v>0.011367461427012776</v>
      </c>
      <c r="O43" s="12">
        <f t="shared" si="8"/>
        <v>0.0074262735810870315</v>
      </c>
      <c r="P43" s="12">
        <f t="shared" si="9"/>
        <v>0.9999078113913323</v>
      </c>
      <c r="Q43" s="12">
        <f t="shared" si="10"/>
        <v>0.539390266201122</v>
      </c>
      <c r="R43" s="12">
        <f t="shared" si="11"/>
        <v>-0.6158765426108649</v>
      </c>
      <c r="S43" s="12">
        <f t="shared" si="12"/>
        <v>0.574242305119686</v>
      </c>
      <c r="T43" s="12">
        <f t="shared" si="13"/>
        <v>0.6116783454285901</v>
      </c>
      <c r="U43" s="12">
        <f t="shared" si="14"/>
        <v>-0.8515082726837286</v>
      </c>
      <c r="V43" s="12">
        <f t="shared" si="15"/>
        <v>0.5392513415686163</v>
      </c>
      <c r="W43" s="12">
        <f t="shared" si="16"/>
        <v>-0.6159771756748462</v>
      </c>
      <c r="X43" s="12">
        <f t="shared" si="17"/>
        <v>0.5742648427895334</v>
      </c>
      <c r="Y43" s="17">
        <f aca="true" t="shared" si="19" ref="Y43:Y48">SQRT(V43^2+W43^2+X43^2)</f>
        <v>1.0000000000000002</v>
      </c>
      <c r="Z43" s="12">
        <f aca="true" t="shared" si="20" ref="Z43:Z48">V43/Y43</f>
        <v>0.5392513415686162</v>
      </c>
      <c r="AA43" s="12">
        <f aca="true" t="shared" si="21" ref="AA43:AA48">W43/Y43</f>
        <v>-0.6159771756748461</v>
      </c>
      <c r="AB43" s="12">
        <f aca="true" t="shared" si="22" ref="AB43:AB48">X43/Y43</f>
        <v>0.5742648427895333</v>
      </c>
      <c r="AC43" s="12">
        <f aca="true" t="shared" si="23" ref="AC43:AC55">ASIN(AB43)</f>
        <v>0.6117058747916438</v>
      </c>
      <c r="AD43" s="12">
        <f aca="true" t="shared" si="24" ref="AD43:AD48">ATAN2(Z43,AA43)</f>
        <v>-0.8517169179660009</v>
      </c>
      <c r="AE43" s="12">
        <f aca="true" t="shared" si="25" ref="AE43:AE48">AC43-T43</f>
        <v>2.752936305372433E-05</v>
      </c>
      <c r="AF43" s="12">
        <f aca="true" t="shared" si="26" ref="AF43:AF48">(AD43-U43)*COS(AC43)</f>
        <v>-0.0001708115467687898</v>
      </c>
      <c r="AG43" s="12">
        <f aca="true" t="shared" si="27" ref="AG43:AG48">AE43*180/PI()</f>
        <v>0.001577316315661784</v>
      </c>
      <c r="AH43" s="12">
        <f aca="true" t="shared" si="28" ref="AH43:AH48">AF43*180/PI()</f>
        <v>-0.00978678072195313</v>
      </c>
      <c r="AI43" s="12">
        <f t="shared" si="18"/>
        <v>0.009913072362252093</v>
      </c>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row>
    <row r="44" spans="1:220" ht="14.25">
      <c r="A44" s="1" t="s">
        <v>61</v>
      </c>
      <c r="B44" s="8" t="s">
        <v>100</v>
      </c>
      <c r="C44" s="9">
        <v>0.861875</v>
      </c>
      <c r="D44" s="10">
        <v>45.247</v>
      </c>
      <c r="E44" s="9">
        <v>0.8882523148148148</v>
      </c>
      <c r="F44" s="11">
        <v>9.687634765573362</v>
      </c>
      <c r="G44" s="11">
        <v>50.045</v>
      </c>
      <c r="H44" s="12">
        <f t="shared" si="1"/>
        <v>21.318055555555556</v>
      </c>
      <c r="I44" s="12">
        <f t="shared" si="2"/>
        <v>-0.14750000000000085</v>
      </c>
      <c r="J44" s="12">
        <f t="shared" si="3"/>
        <v>5.415320336625405</v>
      </c>
      <c r="K44" s="12">
        <f t="shared" si="4"/>
        <v>0.7897091266498742</v>
      </c>
      <c r="L44" s="12">
        <f t="shared" si="5"/>
        <v>0.16908112338992418</v>
      </c>
      <c r="M44" s="12">
        <f t="shared" si="6"/>
        <v>0.8734500241605622</v>
      </c>
      <c r="N44" s="12">
        <f t="shared" si="7"/>
        <v>0.47559220811729036</v>
      </c>
      <c r="O44" s="12">
        <f t="shared" si="8"/>
        <v>-0.5191349937507755</v>
      </c>
      <c r="P44" s="12">
        <f t="shared" si="9"/>
        <v>0.7101485125250226</v>
      </c>
      <c r="Q44" s="12">
        <f t="shared" si="10"/>
        <v>0.6513302821004386</v>
      </c>
      <c r="R44" s="12">
        <f t="shared" si="11"/>
        <v>0.11488688883353428</v>
      </c>
      <c r="S44" s="12">
        <f t="shared" si="12"/>
        <v>0.7500465761491844</v>
      </c>
      <c r="T44" s="12">
        <f t="shared" si="13"/>
        <v>0.8481324983116861</v>
      </c>
      <c r="U44" s="12">
        <f t="shared" si="14"/>
        <v>0.17459216799450908</v>
      </c>
      <c r="V44" s="12">
        <f t="shared" si="15"/>
        <v>0.650809021568393</v>
      </c>
      <c r="W44" s="12">
        <f t="shared" si="16"/>
        <v>0.11431661569387885</v>
      </c>
      <c r="X44" s="12">
        <f t="shared" si="17"/>
        <v>0.7505250356820916</v>
      </c>
      <c r="Y44" s="17">
        <f t="shared" si="19"/>
        <v>0.9999542491354871</v>
      </c>
      <c r="Z44" s="12">
        <f t="shared" si="20"/>
        <v>0.6508387980060604</v>
      </c>
      <c r="AA44" s="12">
        <f t="shared" si="21"/>
        <v>0.11432184601716684</v>
      </c>
      <c r="AB44" s="12">
        <f t="shared" si="22"/>
        <v>0.7505593744223397</v>
      </c>
      <c r="AC44" s="12">
        <f t="shared" si="23"/>
        <v>0.8489081795867716</v>
      </c>
      <c r="AD44" s="12">
        <f t="shared" si="24"/>
        <v>0.1738792796305504</v>
      </c>
      <c r="AE44" s="12">
        <f t="shared" si="25"/>
        <v>0.000775681275085427</v>
      </c>
      <c r="AF44" s="12">
        <f t="shared" si="26"/>
        <v>-0.0004710787807120034</v>
      </c>
      <c r="AG44" s="12">
        <f t="shared" si="27"/>
        <v>0.044443263309721176</v>
      </c>
      <c r="AH44" s="12">
        <f t="shared" si="28"/>
        <v>-0.026990825952966604</v>
      </c>
      <c r="AI44" s="12">
        <f t="shared" si="18"/>
        <v>0.051997195493993176</v>
      </c>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row>
    <row r="45" spans="1:220" ht="14.25">
      <c r="A45" s="1" t="s">
        <v>90</v>
      </c>
      <c r="B45" s="8" t="s">
        <v>101</v>
      </c>
      <c r="C45" s="9">
        <v>0.7754282407407408</v>
      </c>
      <c r="D45" s="10">
        <v>38.775</v>
      </c>
      <c r="E45" s="9">
        <v>0.8858796296296297</v>
      </c>
      <c r="F45" s="11">
        <v>10.440995188838544</v>
      </c>
      <c r="G45" s="11">
        <v>26.893</v>
      </c>
      <c r="H45" s="12">
        <f t="shared" si="1"/>
        <v>21.261111111111113</v>
      </c>
      <c r="I45" s="12">
        <f t="shared" si="2"/>
        <v>-0.20444444444444443</v>
      </c>
      <c r="J45" s="12">
        <f t="shared" si="3"/>
        <v>4.8721593289943375</v>
      </c>
      <c r="K45" s="12">
        <f t="shared" si="4"/>
        <v>0.6767514174608013</v>
      </c>
      <c r="L45" s="12">
        <f t="shared" si="5"/>
        <v>0.1822297432301197</v>
      </c>
      <c r="M45" s="12">
        <f t="shared" si="6"/>
        <v>0.4693713957388351</v>
      </c>
      <c r="N45" s="12">
        <f t="shared" si="7"/>
        <v>0.16513991968734804</v>
      </c>
      <c r="O45" s="12">
        <f t="shared" si="8"/>
        <v>-0.7619203260491039</v>
      </c>
      <c r="P45" s="12">
        <f t="shared" si="9"/>
        <v>0.6262637013901441</v>
      </c>
      <c r="Q45" s="12">
        <f t="shared" si="10"/>
        <v>0.8875050376492041</v>
      </c>
      <c r="R45" s="12">
        <f t="shared" si="11"/>
        <v>0.1666492846050113</v>
      </c>
      <c r="S45" s="12">
        <f t="shared" si="12"/>
        <v>0.42960775608445745</v>
      </c>
      <c r="T45" s="12">
        <f>ASIN(S45)</f>
        <v>0.4440583608918542</v>
      </c>
      <c r="U45" s="12">
        <f t="shared" si="14"/>
        <v>0.18561144884907882</v>
      </c>
      <c r="V45" s="12">
        <f t="shared" si="15"/>
        <v>0.8878337664255386</v>
      </c>
      <c r="W45" s="12">
        <f t="shared" si="16"/>
        <v>0.16666691226084357</v>
      </c>
      <c r="X45" s="12">
        <f t="shared" si="17"/>
        <v>0.4288829217248312</v>
      </c>
      <c r="Y45" s="17">
        <f t="shared" si="19"/>
        <v>0.9999836083632317</v>
      </c>
      <c r="Z45" s="12">
        <f t="shared" si="20"/>
        <v>0.8878483197127006</v>
      </c>
      <c r="AA45" s="12">
        <f t="shared" si="21"/>
        <v>0.1666696442491124</v>
      </c>
      <c r="AB45" s="12">
        <f t="shared" si="22"/>
        <v>0.4288899519331369</v>
      </c>
      <c r="AC45" s="12">
        <f t="shared" si="23"/>
        <v>0.4432636143214875</v>
      </c>
      <c r="AD45" s="12">
        <f t="shared" si="24"/>
        <v>0.18556347011507857</v>
      </c>
      <c r="AE45" s="12">
        <f t="shared" si="25"/>
        <v>-0.0007947465703667111</v>
      </c>
      <c r="AF45" s="12">
        <f t="shared" si="26"/>
        <v>-4.3341912986147455E-05</v>
      </c>
      <c r="AG45" s="12">
        <f t="shared" si="27"/>
        <v>-0.045535624264509446</v>
      </c>
      <c r="AH45" s="12">
        <f t="shared" si="28"/>
        <v>-0.0024833086901295044</v>
      </c>
      <c r="AI45" s="12">
        <f t="shared" si="18"/>
        <v>0.04560328824996125</v>
      </c>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row>
    <row r="46" spans="1:220" ht="14.25">
      <c r="A46" s="1" t="s">
        <v>91</v>
      </c>
      <c r="B46" s="8" t="s">
        <v>102</v>
      </c>
      <c r="C46" s="9">
        <v>0.9053587962962962</v>
      </c>
      <c r="D46" s="10">
        <v>9.832</v>
      </c>
      <c r="E46" s="9">
        <v>0.9159027777777777</v>
      </c>
      <c r="F46" s="11">
        <v>59.41842700892306</v>
      </c>
      <c r="G46" s="11">
        <v>41.855</v>
      </c>
      <c r="H46" s="12">
        <f t="shared" si="1"/>
        <v>21.981666666666666</v>
      </c>
      <c r="I46" s="12">
        <f t="shared" si="2"/>
        <v>0.5161111111111083</v>
      </c>
      <c r="J46" s="12">
        <f t="shared" si="3"/>
        <v>5.688537086614684</v>
      </c>
      <c r="K46" s="12">
        <f t="shared" si="4"/>
        <v>0.17160077205608248</v>
      </c>
      <c r="L46" s="12">
        <f t="shared" si="5"/>
        <v>1.0370471876616336</v>
      </c>
      <c r="M46" s="12">
        <f t="shared" si="6"/>
        <v>0.7305075584222265</v>
      </c>
      <c r="N46" s="12">
        <f t="shared" si="7"/>
        <v>0.7341405871534976</v>
      </c>
      <c r="O46" s="12">
        <f t="shared" si="8"/>
        <v>-0.6571747707971569</v>
      </c>
      <c r="P46" s="12">
        <f t="shared" si="9"/>
        <v>0.170759828184565</v>
      </c>
      <c r="Q46" s="12">
        <f t="shared" si="10"/>
        <v>0.38443752073577075</v>
      </c>
      <c r="R46" s="12">
        <f t="shared" si="11"/>
        <v>0.6573205869071157</v>
      </c>
      <c r="S46" s="12">
        <f t="shared" si="12"/>
        <v>0.6481800974101403</v>
      </c>
      <c r="T46" s="12">
        <f t="shared" si="13"/>
        <v>0.7051920661889782</v>
      </c>
      <c r="U46" s="12">
        <f t="shared" si="14"/>
        <v>1.0415869660119</v>
      </c>
      <c r="V46" s="12">
        <f t="shared" si="15"/>
        <v>0.38454526572958325</v>
      </c>
      <c r="W46" s="12">
        <f t="shared" si="16"/>
        <v>0.6578584939981263</v>
      </c>
      <c r="X46" s="12">
        <f t="shared" si="17"/>
        <v>0.6476270490254822</v>
      </c>
      <c r="Y46" s="17">
        <f t="shared" si="19"/>
        <v>1.0000368263968946</v>
      </c>
      <c r="Z46" s="12">
        <f t="shared" si="20"/>
        <v>0.3845311048344983</v>
      </c>
      <c r="AA46" s="12">
        <f t="shared" si="21"/>
        <v>0.6578342683322699</v>
      </c>
      <c r="AB46" s="12">
        <f t="shared" si="22"/>
        <v>0.6476032001330039</v>
      </c>
      <c r="AC46" s="12">
        <f t="shared" si="23"/>
        <v>0.704434717229958</v>
      </c>
      <c r="AD46" s="12">
        <f t="shared" si="24"/>
        <v>1.041821290685601</v>
      </c>
      <c r="AE46" s="12">
        <f t="shared" si="25"/>
        <v>-0.0007573489590202431</v>
      </c>
      <c r="AF46" s="12">
        <f t="shared" si="26"/>
        <v>0.00017855018820246406</v>
      </c>
      <c r="AG46" s="12">
        <f t="shared" si="27"/>
        <v>-0.04339289897048627</v>
      </c>
      <c r="AH46" s="12">
        <f t="shared" si="28"/>
        <v>0.010230172215267733</v>
      </c>
      <c r="AI46" s="12">
        <f t="shared" si="18"/>
        <v>0.044582508953813535</v>
      </c>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row>
    <row r="47" spans="1:220" ht="14.25">
      <c r="A47" s="1" t="s">
        <v>92</v>
      </c>
      <c r="B47" s="8" t="s">
        <v>103</v>
      </c>
      <c r="C47" s="9">
        <v>0.9073032407407408</v>
      </c>
      <c r="D47" s="10">
        <v>-16.17</v>
      </c>
      <c r="E47" s="9">
        <v>0.8895833333333334</v>
      </c>
      <c r="F47" s="11">
        <v>90.2041555405205</v>
      </c>
      <c r="G47" s="11">
        <v>29.825</v>
      </c>
      <c r="H47" s="12">
        <f t="shared" si="1"/>
        <v>21.35</v>
      </c>
      <c r="I47" s="12">
        <f t="shared" si="2"/>
        <v>-0.11555555555555586</v>
      </c>
      <c r="J47" s="12">
        <f t="shared" si="3"/>
        <v>5.700754391378645</v>
      </c>
      <c r="K47" s="12">
        <f t="shared" si="4"/>
        <v>-0.2822197400474831</v>
      </c>
      <c r="L47" s="12">
        <f t="shared" si="5"/>
        <v>1.574359513163168</v>
      </c>
      <c r="M47" s="12">
        <f t="shared" si="6"/>
        <v>0.5205444494073088</v>
      </c>
      <c r="N47" s="12">
        <f t="shared" si="7"/>
        <v>0.8177444752045406</v>
      </c>
      <c r="O47" s="12">
        <f t="shared" si="8"/>
        <v>-0.5037243916554869</v>
      </c>
      <c r="P47" s="12">
        <f t="shared" si="9"/>
        <v>-0.27848825922067166</v>
      </c>
      <c r="Q47" s="12">
        <f t="shared" si="10"/>
        <v>-0.006272959469107438</v>
      </c>
      <c r="R47" s="12">
        <f t="shared" si="11"/>
        <v>0.8798365832602775</v>
      </c>
      <c r="S47" s="12">
        <f t="shared" si="12"/>
        <v>0.4752349279423598</v>
      </c>
      <c r="T47" s="12">
        <f t="shared" si="13"/>
        <v>0.4952310188386179</v>
      </c>
      <c r="U47" s="12">
        <f t="shared" si="14"/>
        <v>1.5779258930140752</v>
      </c>
      <c r="V47" s="12">
        <f t="shared" si="15"/>
        <v>-0.0067772877470072546</v>
      </c>
      <c r="W47" s="12">
        <f t="shared" si="16"/>
        <v>0.8801576562376943</v>
      </c>
      <c r="X47" s="12">
        <f t="shared" si="17"/>
        <v>0.47491026548643656</v>
      </c>
      <c r="Y47" s="17">
        <f t="shared" si="19"/>
        <v>1.000131587206121</v>
      </c>
      <c r="Z47" s="12">
        <f t="shared" si="20"/>
        <v>-0.0067763960599821526</v>
      </c>
      <c r="AA47" s="12">
        <f t="shared" si="21"/>
        <v>0.8800418539888584</v>
      </c>
      <c r="AB47" s="12">
        <f t="shared" si="22"/>
        <v>0.4748477815935239</v>
      </c>
      <c r="AC47" s="12">
        <f t="shared" si="23"/>
        <v>0.4947910615367464</v>
      </c>
      <c r="AD47" s="12">
        <f t="shared" si="24"/>
        <v>1.5784962584594437</v>
      </c>
      <c r="AE47" s="12">
        <f t="shared" si="25"/>
        <v>-0.0004399573018715186</v>
      </c>
      <c r="AF47" s="12">
        <f t="shared" si="26"/>
        <v>0.0005019603442701213</v>
      </c>
      <c r="AG47" s="12">
        <f t="shared" si="27"/>
        <v>-0.02520769656320113</v>
      </c>
      <c r="AH47" s="12">
        <f t="shared" si="28"/>
        <v>0.028760209209611764</v>
      </c>
      <c r="AI47" s="12">
        <f t="shared" si="18"/>
        <v>0.03824366091005226</v>
      </c>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row>
    <row r="48" spans="1:220" ht="14.25">
      <c r="A48" s="1" t="s">
        <v>93</v>
      </c>
      <c r="B48" s="8" t="s">
        <v>104</v>
      </c>
      <c r="C48" s="9">
        <v>0.9563425925925926</v>
      </c>
      <c r="D48" s="10">
        <v>-29.673</v>
      </c>
      <c r="E48" s="9">
        <v>0.8996180555555555</v>
      </c>
      <c r="F48" s="11">
        <v>109.7955284600142</v>
      </c>
      <c r="G48" s="11">
        <v>23.759</v>
      </c>
      <c r="H48" s="12">
        <f t="shared" si="1"/>
        <v>21.590833333333332</v>
      </c>
      <c r="I48" s="12">
        <f t="shared" si="2"/>
        <v>0.12527777777777516</v>
      </c>
      <c r="J48" s="12">
        <f t="shared" si="3"/>
        <v>6.00887772640781</v>
      </c>
      <c r="K48" s="12">
        <f t="shared" si="4"/>
        <v>-0.5178915489442774</v>
      </c>
      <c r="L48" s="12">
        <f t="shared" si="5"/>
        <v>1.9162934755943868</v>
      </c>
      <c r="M48" s="12">
        <f t="shared" si="6"/>
        <v>0.41467277698133276</v>
      </c>
      <c r="N48" s="12">
        <f aca="true" t="shared" si="29" ref="N48:N55">COS(K48)*COS(J48-$B$24*I48*15/180*PI())</f>
        <v>0.8281894249523705</v>
      </c>
      <c r="O48" s="12">
        <f aca="true" t="shared" si="30" ref="O48:O55">COS(K48)*SIN(J48-$B$24*I48*15/180*PI())</f>
        <v>-0.2627327278731494</v>
      </c>
      <c r="P48" s="12">
        <f aca="true" t="shared" si="31" ref="P48:P55">SIN(K48)</f>
        <v>-0.49504928047760616</v>
      </c>
      <c r="Q48" s="12">
        <f t="shared" si="10"/>
        <v>-0.3161010332471979</v>
      </c>
      <c r="R48" s="12">
        <f t="shared" si="11"/>
        <v>0.8694749111141838</v>
      </c>
      <c r="S48" s="12">
        <f t="shared" si="12"/>
        <v>0.3795965170059339</v>
      </c>
      <c r="T48" s="12">
        <f t="shared" si="13"/>
        <v>0.3893601313332666</v>
      </c>
      <c r="U48" s="12">
        <f t="shared" si="14"/>
        <v>1.9194945345707968</v>
      </c>
      <c r="V48" s="12">
        <f t="shared" si="15"/>
        <v>-0.3166488936016296</v>
      </c>
      <c r="W48" s="12">
        <f t="shared" si="16"/>
        <v>0.8691580044680154</v>
      </c>
      <c r="X48" s="12">
        <f t="shared" si="17"/>
        <v>0.38033014560746675</v>
      </c>
      <c r="Y48" s="17">
        <f t="shared" si="19"/>
        <v>1.0001765735147747</v>
      </c>
      <c r="Z48" s="12">
        <f t="shared" si="20"/>
        <v>-0.3165929916643384</v>
      </c>
      <c r="AA48" s="12">
        <f t="shared" si="21"/>
        <v>0.8690045612782752</v>
      </c>
      <c r="AB48" s="12">
        <f t="shared" si="22"/>
        <v>0.38026300123280027</v>
      </c>
      <c r="AC48" s="12">
        <f t="shared" si="23"/>
        <v>0.39008064289689887</v>
      </c>
      <c r="AD48" s="12">
        <f t="shared" si="24"/>
        <v>1.9201681995483606</v>
      </c>
      <c r="AE48" s="12">
        <f t="shared" si="25"/>
        <v>0.0007205115636322867</v>
      </c>
      <c r="AF48" s="12">
        <f t="shared" si="26"/>
        <v>0.0006230581848032303</v>
      </c>
      <c r="AG48" s="12">
        <f t="shared" si="27"/>
        <v>0.041282271686501684</v>
      </c>
      <c r="AH48" s="12">
        <f t="shared" si="28"/>
        <v>0.03569860438030719</v>
      </c>
      <c r="AI48" s="12">
        <f t="shared" si="18"/>
        <v>0.05457670116725476</v>
      </c>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row>
    <row r="49" spans="1:220" ht="14.25">
      <c r="A49" s="1" t="s">
        <v>94</v>
      </c>
      <c r="B49" s="8" t="s">
        <v>105</v>
      </c>
      <c r="C49" s="9">
        <v>0.029942129629629628</v>
      </c>
      <c r="D49" s="10">
        <v>-18.038</v>
      </c>
      <c r="E49" s="9">
        <v>0.91125</v>
      </c>
      <c r="F49" s="11">
        <v>130.46241592799407</v>
      </c>
      <c r="G49" s="11">
        <v>39.126</v>
      </c>
      <c r="H49" s="12">
        <f t="shared" si="1"/>
        <v>21.87</v>
      </c>
      <c r="I49" s="12">
        <f t="shared" si="2"/>
        <v>0.4044444444444437</v>
      </c>
      <c r="J49" s="12">
        <f t="shared" si="3"/>
        <v>0.18813194895455546</v>
      </c>
      <c r="K49" s="12">
        <f t="shared" si="4"/>
        <v>-0.31482249047473715</v>
      </c>
      <c r="L49" s="12">
        <f t="shared" si="5"/>
        <v>2.2769987080497898</v>
      </c>
      <c r="M49" s="12">
        <f t="shared" si="6"/>
        <v>0.6828775231353014</v>
      </c>
      <c r="N49" s="12">
        <f t="shared" si="29"/>
        <v>0.9476596010972569</v>
      </c>
      <c r="O49" s="12">
        <f t="shared" si="30"/>
        <v>0.07784335519305262</v>
      </c>
      <c r="P49" s="12">
        <f t="shared" si="31"/>
        <v>-0.3096476909335451</v>
      </c>
      <c r="Q49" s="12">
        <f aca="true" t="shared" si="32" ref="Q49:Q55">COS(M49+$G$28)*COS(L49)*COS($F$28)-SIN($F$28)*COS($E$28)*SIN(L49)+SIN($E$28)*COS($F$28)*SIN(M49+$G$28)*SIN(L49)</f>
        <v>-0.5162065804496659</v>
      </c>
      <c r="R49" s="12">
        <f aca="true" t="shared" si="33" ref="R49:R55">COS(M49+$G$28)*SIN(L49)*COS($F$28)+SIN($F$28)*COS($E$28)*COS(L49)-SIN($E$28)*COS($F$28)*SIN(M49+$G$28)*COS(L49)</f>
        <v>0.5999818154253844</v>
      </c>
      <c r="S49" s="12">
        <f aca="true" t="shared" si="34" ref="S49:S55">SIN(M49+$G$28)*COS($E$28)*COS($F$28)+SIN($E$28)*SIN($F$28)</f>
        <v>0.6111894857237996</v>
      </c>
      <c r="T49" s="12">
        <f t="shared" si="13"/>
        <v>0.6575625749163108</v>
      </c>
      <c r="U49" s="12">
        <f aca="true" t="shared" si="35" ref="U49:U55">ATAN2(Q49,R49)</f>
        <v>2.2812802043217375</v>
      </c>
      <c r="V49" s="12">
        <f aca="true" t="shared" si="36" ref="V49:V55">$N$25*N49+$O$25*O49+$P$25*P49</f>
        <v>-0.5166009652565263</v>
      </c>
      <c r="W49" s="12">
        <f aca="true" t="shared" si="37" ref="W49:W55">$N$26*N49+$O$26*O49+$P$26*P49</f>
        <v>0.6010743421371377</v>
      </c>
      <c r="X49" s="12">
        <f aca="true" t="shared" si="38" ref="X49:X55">$N$27*N49+$O$27*O49+$P$27*P49</f>
        <v>0.6100748396055822</v>
      </c>
      <c r="Y49" s="17">
        <f aca="true" t="shared" si="39" ref="Y49:Y55">SQRT(V49^2+W49^2+X49^2)</f>
        <v>1.000179099961274</v>
      </c>
      <c r="Z49" s="12">
        <f aca="true" t="shared" si="40" ref="Z49:Z55">V49/Y49</f>
        <v>-0.5165084586115912</v>
      </c>
      <c r="AA49" s="12">
        <f aca="true" t="shared" si="41" ref="AA49:AA55">W49/Y49</f>
        <v>0.6009667090228248</v>
      </c>
      <c r="AB49" s="12">
        <f aca="true" t="shared" si="42" ref="AB49:AB55">X49/Y49</f>
        <v>0.6099655947911765</v>
      </c>
      <c r="AC49" s="12">
        <f t="shared" si="23"/>
        <v>0.6560171727365096</v>
      </c>
      <c r="AD49" s="12">
        <f aca="true" t="shared" si="43" ref="AD49:AD55">ATAN2(Z49,AA49)</f>
        <v>2.2807583768903186</v>
      </c>
      <c r="AE49" s="12">
        <f aca="true" t="shared" si="44" ref="AE49:AE55">AC49-T49</f>
        <v>-0.0015454021798011475</v>
      </c>
      <c r="AF49" s="12">
        <f aca="true" t="shared" si="45" ref="AF49:AF55">(AD49-U49)*COS(AC49)</f>
        <v>-0.0004135106144802825</v>
      </c>
      <c r="AG49" s="12">
        <f aca="true" t="shared" si="46" ref="AG49:AH55">AE49*180/PI()</f>
        <v>-0.08854502255292335</v>
      </c>
      <c r="AH49" s="12">
        <f t="shared" si="46"/>
        <v>-0.023692412993581453</v>
      </c>
      <c r="AI49" s="12">
        <f t="shared" si="18"/>
        <v>0.09165997737483973</v>
      </c>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row>
    <row r="50" spans="1:220" ht="14.25">
      <c r="A50" s="1" t="s">
        <v>95</v>
      </c>
      <c r="B50" s="8" t="s">
        <v>106</v>
      </c>
      <c r="C50" s="9">
        <v>0.12623842592592593</v>
      </c>
      <c r="D50" s="21">
        <v>4.053</v>
      </c>
      <c r="E50" s="9">
        <v>0.9294212962962963</v>
      </c>
      <c r="F50" s="11">
        <v>177.28781817245653</v>
      </c>
      <c r="G50" s="11">
        <v>51.864</v>
      </c>
      <c r="H50" s="12">
        <f t="shared" si="1"/>
        <v>22.30611111111111</v>
      </c>
      <c r="I50" s="12">
        <f t="shared" si="2"/>
        <v>0.8405555555555537</v>
      </c>
      <c r="J50" s="12">
        <f t="shared" si="3"/>
        <v>0.7931794229792564</v>
      </c>
      <c r="K50" s="12">
        <f t="shared" si="4"/>
        <v>0.07073819458333018</v>
      </c>
      <c r="L50" s="12">
        <f t="shared" si="5"/>
        <v>3.094256150786402</v>
      </c>
      <c r="M50" s="12">
        <f t="shared" si="6"/>
        <v>0.905197563254339</v>
      </c>
      <c r="N50" s="12">
        <f t="shared" si="29"/>
        <v>0.8384363378716145</v>
      </c>
      <c r="O50" s="12">
        <f t="shared" si="30"/>
        <v>0.5403970354371589</v>
      </c>
      <c r="P50" s="12">
        <f t="shared" si="31"/>
        <v>0.07067921495861482</v>
      </c>
      <c r="Q50" s="12">
        <f t="shared" si="32"/>
        <v>-0.6366938549116195</v>
      </c>
      <c r="R50" s="12">
        <f t="shared" si="33"/>
        <v>0.026474324345172495</v>
      </c>
      <c r="S50" s="12">
        <f t="shared" si="34"/>
        <v>0.7706620824124205</v>
      </c>
      <c r="T50" s="12">
        <f t="shared" si="13"/>
        <v>0.8798794777507555</v>
      </c>
      <c r="U50" s="12">
        <f t="shared" si="35"/>
        <v>3.100035660155829</v>
      </c>
      <c r="V50" s="12">
        <f t="shared" si="36"/>
        <v>-0.6357218301877474</v>
      </c>
      <c r="W50" s="12">
        <f t="shared" si="37"/>
        <v>0.026370803505930747</v>
      </c>
      <c r="X50" s="12">
        <f t="shared" si="38"/>
        <v>0.7715671074248632</v>
      </c>
      <c r="Y50" s="17">
        <f t="shared" si="39"/>
        <v>1.0000767300136415</v>
      </c>
      <c r="Z50" s="12">
        <f t="shared" si="40"/>
        <v>-0.6356730549855668</v>
      </c>
      <c r="AA50" s="12">
        <f t="shared" si="41"/>
        <v>0.02636878022906406</v>
      </c>
      <c r="AB50" s="12">
        <f t="shared" si="42"/>
        <v>0.7715079096124341</v>
      </c>
      <c r="AC50" s="12">
        <f t="shared" si="23"/>
        <v>0.8812078658861796</v>
      </c>
      <c r="AD50" s="12">
        <f t="shared" si="43"/>
        <v>3.1001347514337603</v>
      </c>
      <c r="AE50" s="12">
        <f t="shared" si="44"/>
        <v>0.00132838813542413</v>
      </c>
      <c r="AF50" s="12">
        <f t="shared" si="45"/>
        <v>6.304382613459113E-05</v>
      </c>
      <c r="AG50" s="12">
        <f t="shared" si="46"/>
        <v>0.0761110337150555</v>
      </c>
      <c r="AH50" s="12">
        <f t="shared" si="46"/>
        <v>0.0036121451618686302</v>
      </c>
      <c r="AI50" s="12">
        <f t="shared" si="18"/>
        <v>0.07619669970441453</v>
      </c>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row>
    <row r="51" spans="1:220" ht="14.25">
      <c r="A51" s="1" t="s">
        <v>112</v>
      </c>
      <c r="B51" s="8" t="s">
        <v>107</v>
      </c>
      <c r="C51" s="9">
        <v>0.08793981481481482</v>
      </c>
      <c r="D51" s="10">
        <v>23.418</v>
      </c>
      <c r="E51" s="9">
        <v>0.912673611111111</v>
      </c>
      <c r="F51" s="11">
        <v>193.32649140667183</v>
      </c>
      <c r="G51" s="11">
        <v>71.174</v>
      </c>
      <c r="H51" s="12">
        <f>E51*24</f>
        <v>21.904166666666665</v>
      </c>
      <c r="I51" s="12">
        <f t="shared" si="2"/>
        <v>0.43861111111110773</v>
      </c>
      <c r="J51" s="12">
        <f>C51*360/180*PI()</f>
        <v>0.5525421523605382</v>
      </c>
      <c r="K51" s="12">
        <f>D51/180*PI()</f>
        <v>0.40872120423203206</v>
      </c>
      <c r="L51" s="12">
        <f aca="true" t="shared" si="47" ref="L51:M55">F51/180*PI()</f>
        <v>3.3741838063749476</v>
      </c>
      <c r="M51" s="12">
        <f t="shared" si="47"/>
        <v>1.2422206418144441</v>
      </c>
      <c r="N51" s="12">
        <f t="shared" si="29"/>
        <v>0.8312406571179677</v>
      </c>
      <c r="O51" s="12">
        <f t="shared" si="30"/>
        <v>0.3886945370377009</v>
      </c>
      <c r="P51" s="12">
        <f t="shared" si="31"/>
        <v>0.39743619215055986</v>
      </c>
      <c r="Q51" s="12">
        <f t="shared" si="32"/>
        <v>-0.33628943835747466</v>
      </c>
      <c r="R51" s="12">
        <f t="shared" si="33"/>
        <v>-0.08376181752857466</v>
      </c>
      <c r="S51" s="12">
        <f t="shared" si="34"/>
        <v>0.9380263171007113</v>
      </c>
      <c r="T51" s="12">
        <f t="shared" si="13"/>
        <v>1.216890689215845</v>
      </c>
      <c r="U51" s="12">
        <f t="shared" si="35"/>
        <v>-2.8974832961646095</v>
      </c>
      <c r="V51" s="12">
        <f t="shared" si="36"/>
        <v>-0.33601522500573966</v>
      </c>
      <c r="W51" s="12">
        <f t="shared" si="37"/>
        <v>-0.08448755002172045</v>
      </c>
      <c r="X51" s="12">
        <f t="shared" si="38"/>
        <v>0.9380731216945973</v>
      </c>
      <c r="Y51" s="17">
        <f t="shared" si="39"/>
        <v>1.0000127795134308</v>
      </c>
      <c r="Z51" s="12">
        <f t="shared" si="40"/>
        <v>-0.3360109309495347</v>
      </c>
      <c r="AA51" s="12">
        <f t="shared" si="41"/>
        <v>-0.08448647032573821</v>
      </c>
      <c r="AB51" s="12">
        <f t="shared" si="42"/>
        <v>0.9380611337297399</v>
      </c>
      <c r="AC51" s="12">
        <f t="shared" si="23"/>
        <v>1.216991165205091</v>
      </c>
      <c r="AD51" s="12">
        <f t="shared" si="43"/>
        <v>-2.8952594869473303</v>
      </c>
      <c r="AE51" s="12">
        <f t="shared" si="44"/>
        <v>0.0001004759892460072</v>
      </c>
      <c r="AF51" s="12">
        <f t="shared" si="45"/>
        <v>0.0007704826932651021</v>
      </c>
      <c r="AG51" s="12">
        <f t="shared" si="46"/>
        <v>0.005756850126198059</v>
      </c>
      <c r="AH51" s="12">
        <f t="shared" si="46"/>
        <v>0.04414540651196313</v>
      </c>
      <c r="AI51" s="12">
        <f>SQRT(AG51^2+AH51^2)</f>
        <v>0.044519189564523554</v>
      </c>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row>
    <row r="52" spans="1:220" ht="14.25">
      <c r="A52" s="1" t="s">
        <v>113</v>
      </c>
      <c r="B52" s="8" t="s">
        <v>108</v>
      </c>
      <c r="C52" s="9">
        <v>0.19122685185185184</v>
      </c>
      <c r="D52" s="10">
        <v>16.49</v>
      </c>
      <c r="E52" s="9">
        <v>0.9075231481481482</v>
      </c>
      <c r="F52" s="11">
        <v>218.08433607349804</v>
      </c>
      <c r="G52" s="11">
        <v>36.396</v>
      </c>
      <c r="H52" s="12">
        <f>E52*24</f>
        <v>21.780555555555555</v>
      </c>
      <c r="I52" s="12">
        <f t="shared" si="2"/>
        <v>0.3149999999999977</v>
      </c>
      <c r="J52" s="12">
        <f>C52*360/180*PI()</f>
        <v>1.201513745893763</v>
      </c>
      <c r="K52" s="12">
        <f>D52/180*PI()</f>
        <v>0.2878047936538649</v>
      </c>
      <c r="L52" s="12">
        <f t="shared" si="47"/>
        <v>3.8062897115083834</v>
      </c>
      <c r="M52" s="12">
        <f t="shared" si="47"/>
        <v>0.6352300345558561</v>
      </c>
      <c r="N52" s="12">
        <f t="shared" si="29"/>
        <v>0.4187796724735398</v>
      </c>
      <c r="O52" s="12">
        <f t="shared" si="30"/>
        <v>0.8625855909939194</v>
      </c>
      <c r="P52" s="12">
        <f t="shared" si="31"/>
        <v>0.2838479947659056</v>
      </c>
      <c r="Q52" s="12">
        <f t="shared" si="32"/>
        <v>-0.6431342018218388</v>
      </c>
      <c r="R52" s="12">
        <f t="shared" si="33"/>
        <v>-0.5082130926989157</v>
      </c>
      <c r="S52" s="12">
        <f t="shared" si="34"/>
        <v>0.5727982636639098</v>
      </c>
      <c r="T52" s="12">
        <f t="shared" si="13"/>
        <v>0.6099155803542173</v>
      </c>
      <c r="U52" s="12">
        <f t="shared" si="35"/>
        <v>-2.472847867683263</v>
      </c>
      <c r="V52" s="12">
        <f t="shared" si="36"/>
        <v>-0.6433702994213508</v>
      </c>
      <c r="W52" s="12">
        <f t="shared" si="37"/>
        <v>-0.5082019731621256</v>
      </c>
      <c r="X52" s="12">
        <f t="shared" si="38"/>
        <v>0.5725355142099471</v>
      </c>
      <c r="Y52" s="17">
        <f t="shared" si="39"/>
        <v>0.9999957513584969</v>
      </c>
      <c r="Z52" s="12">
        <f t="shared" si="40"/>
        <v>-0.6433730328827203</v>
      </c>
      <c r="AA52" s="12">
        <f t="shared" si="41"/>
        <v>-0.5082041323392943</v>
      </c>
      <c r="AB52" s="12">
        <f t="shared" si="42"/>
        <v>0.5725379467184296</v>
      </c>
      <c r="AC52" s="12">
        <f t="shared" si="23"/>
        <v>0.6095980382996915</v>
      </c>
      <c r="AD52" s="12">
        <f t="shared" si="43"/>
        <v>-2.4730370493781915</v>
      </c>
      <c r="AE52" s="12">
        <f t="shared" si="44"/>
        <v>-0.0003175420545258323</v>
      </c>
      <c r="AF52" s="12">
        <f t="shared" si="45"/>
        <v>-0.00015510595174891462</v>
      </c>
      <c r="AG52" s="12">
        <f t="shared" si="46"/>
        <v>-0.01819381954224325</v>
      </c>
      <c r="AH52" s="12">
        <f t="shared" si="46"/>
        <v>-0.008886916412572598</v>
      </c>
      <c r="AI52" s="12">
        <f>SQRT(AG52^2+AH52^2)</f>
        <v>0.020248267897767565</v>
      </c>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row>
    <row r="53" spans="1:220" ht="14.25">
      <c r="A53" s="1" t="s">
        <v>114</v>
      </c>
      <c r="B53" s="8" t="s">
        <v>109</v>
      </c>
      <c r="C53" s="9">
        <v>0.21943287037037038</v>
      </c>
      <c r="D53" s="10">
        <v>45.988</v>
      </c>
      <c r="E53" s="9">
        <v>0.9062152777777778</v>
      </c>
      <c r="F53" s="11">
        <v>256.404669316397</v>
      </c>
      <c r="G53" s="11">
        <v>39.025</v>
      </c>
      <c r="H53" s="12">
        <f>E53*24</f>
        <v>21.749166666666667</v>
      </c>
      <c r="I53" s="12">
        <f t="shared" si="2"/>
        <v>0.28361111111111015</v>
      </c>
      <c r="J53" s="12">
        <f>C53*360/180*PI()</f>
        <v>1.378737387023354</v>
      </c>
      <c r="K53" s="12">
        <f>D53/180*PI()</f>
        <v>0.8026420164071523</v>
      </c>
      <c r="L53" s="12">
        <f t="shared" si="47"/>
        <v>4.475105697058406</v>
      </c>
      <c r="M53" s="12">
        <f t="shared" si="47"/>
        <v>0.6811147405907871</v>
      </c>
      <c r="N53" s="12">
        <f t="shared" si="29"/>
        <v>0.18299022185007663</v>
      </c>
      <c r="O53" s="12">
        <f t="shared" si="30"/>
        <v>0.6702791536413019</v>
      </c>
      <c r="P53" s="12">
        <f t="shared" si="31"/>
        <v>0.719194295653935</v>
      </c>
      <c r="Q53" s="12">
        <f t="shared" si="32"/>
        <v>-0.18300859056948782</v>
      </c>
      <c r="R53" s="12">
        <f t="shared" si="33"/>
        <v>-0.7711419724002662</v>
      </c>
      <c r="S53" s="12">
        <f t="shared" si="34"/>
        <v>0.6097933372712405</v>
      </c>
      <c r="T53" s="12">
        <f t="shared" si="13"/>
        <v>0.6557998114944503</v>
      </c>
      <c r="U53" s="12">
        <f t="shared" si="35"/>
        <v>-1.803807177314103</v>
      </c>
      <c r="V53" s="12">
        <f t="shared" si="36"/>
        <v>-0.183435808490239</v>
      </c>
      <c r="W53" s="12">
        <f t="shared" si="37"/>
        <v>-0.7714083337680628</v>
      </c>
      <c r="X53" s="12">
        <f t="shared" si="38"/>
        <v>0.6092839766588822</v>
      </c>
      <c r="Y53" s="17">
        <f t="shared" si="39"/>
        <v>0.9999732383701816</v>
      </c>
      <c r="Z53" s="12">
        <f t="shared" si="40"/>
        <v>-0.18344071766281872</v>
      </c>
      <c r="AA53" s="12">
        <f t="shared" si="41"/>
        <v>-0.7714289784648157</v>
      </c>
      <c r="AB53" s="12">
        <f t="shared" si="42"/>
        <v>0.6093002825274915</v>
      </c>
      <c r="AC53" s="12">
        <f t="shared" si="23"/>
        <v>0.6551778566320947</v>
      </c>
      <c r="AD53" s="12">
        <f t="shared" si="43"/>
        <v>-1.8042538407436826</v>
      </c>
      <c r="AE53" s="12">
        <f t="shared" si="44"/>
        <v>-0.0006219548623556115</v>
      </c>
      <c r="AF53" s="12">
        <f t="shared" si="45"/>
        <v>-0.00035417710892352884</v>
      </c>
      <c r="AG53" s="12">
        <f t="shared" si="46"/>
        <v>-0.03563538866061658</v>
      </c>
      <c r="AH53" s="12">
        <f t="shared" si="46"/>
        <v>-0.020292853541463447</v>
      </c>
      <c r="AI53" s="12">
        <f>SQRT(AG53^2+AH53^2)</f>
        <v>0.04100830196251103</v>
      </c>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row>
    <row r="54" spans="1:220" ht="14.25">
      <c r="A54" s="1" t="s">
        <v>115</v>
      </c>
      <c r="B54" s="8" t="s">
        <v>110</v>
      </c>
      <c r="C54" s="9">
        <v>0.14141203703703703</v>
      </c>
      <c r="D54" s="10">
        <v>49.828</v>
      </c>
      <c r="E54" s="9">
        <v>0.910162037037037</v>
      </c>
      <c r="F54" s="11">
        <v>261.5721415423793</v>
      </c>
      <c r="G54" s="11">
        <v>58.638</v>
      </c>
      <c r="H54" s="12">
        <f>E54*24</f>
        <v>21.843888888888888</v>
      </c>
      <c r="I54" s="12">
        <f t="shared" si="2"/>
        <v>0.3783333333333303</v>
      </c>
      <c r="J54" s="12">
        <f>C54*360/180*PI()</f>
        <v>0.8885180333694466</v>
      </c>
      <c r="K54" s="12">
        <f>D54/180*PI()</f>
        <v>0.8696626596837346</v>
      </c>
      <c r="L54" s="12">
        <f t="shared" si="47"/>
        <v>4.565295101407158</v>
      </c>
      <c r="M54" s="12">
        <f t="shared" si="47"/>
        <v>1.0234261667844349</v>
      </c>
      <c r="N54" s="12">
        <f t="shared" si="29"/>
        <v>0.4544063142696828</v>
      </c>
      <c r="O54" s="12">
        <f t="shared" si="30"/>
        <v>0.45787413066801275</v>
      </c>
      <c r="P54" s="12">
        <f t="shared" si="31"/>
        <v>0.7641113675485098</v>
      </c>
      <c r="Q54" s="12">
        <f t="shared" si="32"/>
        <v>-0.075649900280474</v>
      </c>
      <c r="R54" s="12">
        <f t="shared" si="33"/>
        <v>-0.5365890891998809</v>
      </c>
      <c r="S54" s="12">
        <f t="shared" si="34"/>
        <v>0.8404458590172222</v>
      </c>
      <c r="T54" s="12">
        <f t="shared" si="13"/>
        <v>0.998105474883566</v>
      </c>
      <c r="U54" s="12">
        <f t="shared" si="35"/>
        <v>-1.7108561696560791</v>
      </c>
      <c r="V54" s="12">
        <f t="shared" si="36"/>
        <v>-0.07508631881686861</v>
      </c>
      <c r="W54" s="12">
        <f t="shared" si="37"/>
        <v>-0.5359328097551052</v>
      </c>
      <c r="X54" s="12">
        <f t="shared" si="38"/>
        <v>0.840852773271638</v>
      </c>
      <c r="Y54" s="17">
        <f t="shared" si="39"/>
        <v>0.9999476577121799</v>
      </c>
      <c r="Z54" s="12">
        <f t="shared" si="40"/>
        <v>-0.07509024921230537</v>
      </c>
      <c r="AA54" s="12">
        <f t="shared" si="41"/>
        <v>-0.5359608631728657</v>
      </c>
      <c r="AB54" s="12">
        <f t="shared" si="42"/>
        <v>0.8408967877333285</v>
      </c>
      <c r="AC54" s="12">
        <f t="shared" si="23"/>
        <v>0.9989381448466377</v>
      </c>
      <c r="AD54" s="12">
        <f t="shared" si="43"/>
        <v>-1.7099942464481117</v>
      </c>
      <c r="AE54" s="12">
        <f t="shared" si="44"/>
        <v>0.0008326699630716305</v>
      </c>
      <c r="AF54" s="12">
        <f t="shared" si="45"/>
        <v>0.00046646897993977656</v>
      </c>
      <c r="AG54" s="12">
        <f t="shared" si="46"/>
        <v>0.047708474611318545</v>
      </c>
      <c r="AH54" s="12">
        <f t="shared" si="46"/>
        <v>0.02672670382432186</v>
      </c>
      <c r="AI54" s="12">
        <f>SQRT(AG54^2+AH54^2)</f>
        <v>0.05468468932938951</v>
      </c>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row>
    <row r="55" spans="1:220" ht="14.25">
      <c r="A55" s="1" t="s">
        <v>116</v>
      </c>
      <c r="B55" s="8" t="s">
        <v>111</v>
      </c>
      <c r="C55" s="9">
        <v>0.006018518518518518</v>
      </c>
      <c r="D55" s="10">
        <v>59.097</v>
      </c>
      <c r="E55" s="9">
        <v>0.9143055555555556</v>
      </c>
      <c r="F55" s="11">
        <v>323.5738044249686</v>
      </c>
      <c r="G55" s="11">
        <v>65.715</v>
      </c>
      <c r="H55" s="12">
        <f>E55*24</f>
        <v>21.943333333333335</v>
      </c>
      <c r="I55" s="12">
        <f t="shared" si="2"/>
        <v>0.47777777777777786</v>
      </c>
      <c r="J55" s="12">
        <f>C55*360/180*PI()</f>
        <v>0.03781546712654381</v>
      </c>
      <c r="K55" s="12">
        <f>D55/180*PI()</f>
        <v>1.031437228051089</v>
      </c>
      <c r="L55" s="12">
        <f t="shared" si="47"/>
        <v>5.6474282604198995</v>
      </c>
      <c r="M55" s="12">
        <f t="shared" si="47"/>
        <v>1.1469431179480738</v>
      </c>
      <c r="N55" s="12">
        <f t="shared" si="29"/>
        <v>0.5116164692240689</v>
      </c>
      <c r="O55" s="12">
        <f t="shared" si="30"/>
        <v>-0.04493720307778247</v>
      </c>
      <c r="P55" s="12">
        <f t="shared" si="31"/>
        <v>0.8580380155903604</v>
      </c>
      <c r="Q55" s="12">
        <f t="shared" si="32"/>
        <v>0.35170255600560074</v>
      </c>
      <c r="R55" s="12">
        <f t="shared" si="33"/>
        <v>-0.25467014793923803</v>
      </c>
      <c r="S55" s="12">
        <f t="shared" si="34"/>
        <v>0.9008043227292674</v>
      </c>
      <c r="T55" s="12">
        <f t="shared" si="13"/>
        <v>1.1216182875448704</v>
      </c>
      <c r="U55" s="12">
        <f t="shared" si="35"/>
        <v>-0.626722358553791</v>
      </c>
      <c r="V55" s="12">
        <f t="shared" si="36"/>
        <v>0.3512678056756694</v>
      </c>
      <c r="W55" s="12">
        <f t="shared" si="37"/>
        <v>-0.25396558903944844</v>
      </c>
      <c r="X55" s="12">
        <f t="shared" si="38"/>
        <v>0.9011011866034142</v>
      </c>
      <c r="Y55" s="17">
        <f t="shared" si="39"/>
        <v>0.9999354680270297</v>
      </c>
      <c r="Z55" s="12">
        <f t="shared" si="40"/>
        <v>0.35129047514311607</v>
      </c>
      <c r="AA55" s="12">
        <f t="shared" si="41"/>
        <v>-0.25398197899765207</v>
      </c>
      <c r="AB55" s="12">
        <f t="shared" si="42"/>
        <v>0.9011593401935976</v>
      </c>
      <c r="AC55" s="12">
        <f t="shared" si="23"/>
        <v>1.122436570413433</v>
      </c>
      <c r="AD55" s="12">
        <f t="shared" si="43"/>
        <v>-0.6259940737546532</v>
      </c>
      <c r="AE55" s="12">
        <f t="shared" si="44"/>
        <v>0.0008182828685625587</v>
      </c>
      <c r="AF55" s="12">
        <f t="shared" si="45"/>
        <v>0.00031570271885634956</v>
      </c>
      <c r="AG55" s="12">
        <f t="shared" si="46"/>
        <v>0.046884154816492885</v>
      </c>
      <c r="AH55" s="12">
        <f t="shared" si="46"/>
        <v>0.018088433371274023</v>
      </c>
      <c r="AI55" s="12">
        <f>SQRT(AG55^2+AH55^2)</f>
        <v>0.050252516302011115</v>
      </c>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row>
    <row r="56" spans="1:220" ht="14.25">
      <c r="A56" s="1"/>
      <c r="B56" s="8"/>
      <c r="C56" s="9"/>
      <c r="D56" s="10"/>
      <c r="E56" s="9"/>
      <c r="F56" s="11"/>
      <c r="G56" s="11"/>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row>
    <row r="57" spans="1:220" ht="14.25">
      <c r="A57" s="1"/>
      <c r="B57" s="8"/>
      <c r="C57" s="9"/>
      <c r="D57" s="10"/>
      <c r="E57" s="9"/>
      <c r="F57" s="11"/>
      <c r="G57" s="11"/>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row>
    <row r="58" spans="1:220" ht="14.25">
      <c r="A58" s="1"/>
      <c r="B58" s="8"/>
      <c r="C58" s="9"/>
      <c r="D58" s="21"/>
      <c r="E58" s="9"/>
      <c r="F58" s="11"/>
      <c r="G58" s="11"/>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row>
    <row r="59" spans="1:220" ht="14.25">
      <c r="A59" s="1"/>
      <c r="B59" s="8"/>
      <c r="C59" s="9"/>
      <c r="D59" s="21"/>
      <c r="E59" s="9"/>
      <c r="F59" s="11"/>
      <c r="G59" s="11"/>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row>
    <row r="60" spans="1:220" ht="28.5">
      <c r="A60" s="1"/>
      <c r="B60" s="4"/>
      <c r="C60" s="1"/>
      <c r="D60" s="1"/>
      <c r="E60" s="1"/>
      <c r="F60" s="1"/>
      <c r="G60" s="1"/>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5" t="s">
        <v>35</v>
      </c>
      <c r="AI60" s="16">
        <f>AVERAGEA(AI42:AI59)</f>
        <v>0.04540589520574021</v>
      </c>
      <c r="AJ60" s="1" t="s">
        <v>36</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row>
    <row r="61" spans="1:220" ht="14.25">
      <c r="A61" s="1"/>
      <c r="B61" s="4"/>
      <c r="C61" s="1"/>
      <c r="D61" s="1"/>
      <c r="E61" s="1"/>
      <c r="F61" s="1"/>
      <c r="G61" s="1"/>
      <c r="H61" s="17"/>
      <c r="I61" s="17"/>
      <c r="J61" s="1"/>
      <c r="K61" s="1"/>
      <c r="L61" s="1"/>
      <c r="M61" s="1"/>
      <c r="N61" s="1"/>
      <c r="O61" s="1"/>
      <c r="P61" s="1"/>
      <c r="Q61" s="1"/>
      <c r="R61" s="1"/>
      <c r="S61" s="1"/>
      <c r="T61" s="1"/>
      <c r="U61" s="1"/>
      <c r="V61" s="1"/>
      <c r="W61" s="1"/>
      <c r="X61" s="1"/>
      <c r="Y61" s="1"/>
      <c r="Z61" s="1"/>
      <c r="AA61" s="1"/>
      <c r="AB61" s="1"/>
      <c r="AC61" s="1"/>
      <c r="AD61" s="1"/>
      <c r="AE61" s="1"/>
      <c r="AF61" s="1"/>
      <c r="AG61" s="1"/>
      <c r="AH61" s="1"/>
      <c r="AI61" s="32">
        <f>AI60*60</f>
        <v>2.7243537123444126</v>
      </c>
      <c r="AJ61" s="1" t="s">
        <v>89</v>
      </c>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row>
    <row r="62" spans="1:220" ht="14.25">
      <c r="A62" s="1"/>
      <c r="B62" s="4"/>
      <c r="C62" s="1"/>
      <c r="D62" s="1"/>
      <c r="E62" s="1"/>
      <c r="F62" s="1"/>
      <c r="G62" s="1"/>
      <c r="H62" s="17"/>
      <c r="I62" s="17"/>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row>
    <row r="63" spans="1:220" ht="14.25">
      <c r="A63" s="1"/>
      <c r="B63" s="4"/>
      <c r="C63" s="1"/>
      <c r="D63" s="1"/>
      <c r="E63" s="1"/>
      <c r="F63" s="1"/>
      <c r="G63" s="1"/>
      <c r="H63" s="17"/>
      <c r="I63" s="17"/>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row>
    <row r="64" spans="1:220" ht="14.25">
      <c r="A64" s="1"/>
      <c r="B64" s="4"/>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row>
    <row r="65" spans="1:220" ht="14.25">
      <c r="A65" s="1"/>
      <c r="B65" s="4"/>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row>
    <row r="66" spans="1:220" ht="14.25">
      <c r="A66" s="1"/>
      <c r="B66" s="4"/>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row>
    <row r="67" spans="1:220"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row>
    <row r="68" spans="1:220"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row>
    <row r="69" spans="1:220"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row>
    <row r="70" spans="1:220"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row>
    <row r="71" spans="1:220"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row>
    <row r="72" spans="1:220"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row>
    <row r="73" spans="1:220"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row>
    <row r="74" spans="1:220"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row>
    <row r="75" spans="1:220"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row>
    <row r="76" spans="1:220"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row>
    <row r="77" spans="1:220"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row>
    <row r="78" spans="1:220"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row>
    <row r="79" spans="1:220"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row>
    <row r="80" spans="1:220"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row>
    <row r="81" spans="1:220"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row>
    <row r="82" spans="1:220"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row>
    <row r="83" spans="1:220"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row>
    <row r="84" spans="1:220"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row>
    <row r="85" spans="1:220"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row>
    <row r="86" spans="1:220"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row>
    <row r="87" spans="1:220"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row>
    <row r="88" spans="1:220"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row>
    <row r="89" spans="1:220"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row>
    <row r="90" spans="1:220"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row>
    <row r="91" spans="1:220"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row>
    <row r="92" spans="1:220"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row>
    <row r="93" spans="1:220"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row>
    <row r="94" spans="1:220"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row>
    <row r="95" spans="1:220"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row>
  </sheetData>
  <printOptions/>
  <pageMargins left="0.75" right="0.75" top="0.92" bottom="0.83" header="0.512" footer="0.46"/>
  <pageSetup orientation="landscape" paperSize="9" scale="70" r:id="rId1"/>
</worksheet>
</file>

<file path=xl/worksheets/sheet2.xml><?xml version="1.0" encoding="utf-8"?>
<worksheet xmlns="http://schemas.openxmlformats.org/spreadsheetml/2006/main" xmlns:r="http://schemas.openxmlformats.org/officeDocument/2006/relationships">
  <dimension ref="A1:W24"/>
  <sheetViews>
    <sheetView zoomScale="75" zoomScaleNormal="75" workbookViewId="0" topLeftCell="A1">
      <selection activeCell="A10" sqref="A10"/>
    </sheetView>
  </sheetViews>
  <sheetFormatPr defaultColWidth="9.00390625" defaultRowHeight="13.5"/>
  <cols>
    <col min="2" max="2" width="5.00390625" style="0" customWidth="1"/>
    <col min="3" max="3" width="4.00390625" style="0" customWidth="1"/>
    <col min="4" max="6" width="10.125" style="0" customWidth="1"/>
    <col min="7" max="9" width="4.50390625" style="0" customWidth="1"/>
    <col min="10" max="12" width="9.125" style="0" bestFit="1" customWidth="1"/>
    <col min="13" max="15" width="4.25390625" style="0" customWidth="1"/>
    <col min="16" max="18" width="9.125" style="0" bestFit="1" customWidth="1"/>
  </cols>
  <sheetData>
    <row r="1" spans="1:23" ht="15">
      <c r="A1" s="18" t="s">
        <v>47</v>
      </c>
      <c r="B1" s="1"/>
      <c r="C1" s="1"/>
      <c r="D1" s="1"/>
      <c r="E1" s="1"/>
      <c r="F1" s="1"/>
      <c r="G1" s="1"/>
      <c r="H1" s="1"/>
      <c r="I1" s="1"/>
      <c r="J1" s="1"/>
      <c r="K1" s="1"/>
      <c r="L1" s="1"/>
      <c r="M1" s="1"/>
      <c r="N1" s="1"/>
      <c r="O1" s="1"/>
      <c r="P1" s="1"/>
      <c r="Q1" s="1"/>
      <c r="R1" s="1"/>
      <c r="S1" s="1"/>
      <c r="T1" s="1"/>
      <c r="U1" s="1"/>
      <c r="V1" s="1"/>
      <c r="W1" s="1"/>
    </row>
    <row r="2" spans="1:23" ht="14.25">
      <c r="A2" s="1"/>
      <c r="B2" s="1"/>
      <c r="C2" s="1"/>
      <c r="D2" s="1"/>
      <c r="E2" s="1"/>
      <c r="F2" s="1"/>
      <c r="G2" s="1"/>
      <c r="H2" s="1"/>
      <c r="I2" s="1"/>
      <c r="J2" s="1"/>
      <c r="K2" s="1"/>
      <c r="L2" s="1"/>
      <c r="M2" s="1"/>
      <c r="N2" s="1"/>
      <c r="O2" s="1"/>
      <c r="P2" s="1"/>
      <c r="Q2" s="1"/>
      <c r="R2" s="1"/>
      <c r="S2" s="1"/>
      <c r="T2" s="1"/>
      <c r="U2" s="1"/>
      <c r="V2" s="1"/>
      <c r="W2" s="1"/>
    </row>
    <row r="3" spans="1:23" ht="14.25">
      <c r="A3" s="1"/>
      <c r="B3" s="1"/>
      <c r="C3" s="1"/>
      <c r="D3" s="1"/>
      <c r="E3" s="1"/>
      <c r="F3" s="1"/>
      <c r="G3" s="1"/>
      <c r="H3" s="1"/>
      <c r="I3" s="1"/>
      <c r="J3" s="1"/>
      <c r="K3" s="1"/>
      <c r="L3" s="1"/>
      <c r="M3" s="1"/>
      <c r="N3" s="1"/>
      <c r="O3" s="1"/>
      <c r="P3" s="1"/>
      <c r="Q3" s="1"/>
      <c r="R3" s="1"/>
      <c r="S3" s="1"/>
      <c r="T3" s="1"/>
      <c r="U3" s="1"/>
      <c r="V3" s="1"/>
      <c r="W3" s="1"/>
    </row>
    <row r="4" spans="1:23" ht="14.25">
      <c r="A4" s="1"/>
      <c r="B4" s="1"/>
      <c r="C4" s="2" t="s">
        <v>3</v>
      </c>
      <c r="D4" s="6">
        <f>Data!Q34</f>
        <v>-0.020996214096494534</v>
      </c>
      <c r="E4" s="6">
        <f>Data!Q35</f>
        <v>0.5392513415686163</v>
      </c>
      <c r="F4" s="6">
        <f>Data!Q36</f>
        <v>0.7740999165231051</v>
      </c>
      <c r="G4" s="6" t="s">
        <v>4</v>
      </c>
      <c r="H4" s="6"/>
      <c r="I4" s="19" t="s">
        <v>3</v>
      </c>
      <c r="J4" s="6">
        <f>INDEX(MINVERSE($D$8:$F$10),1,1)</f>
        <v>1.1506570398321647</v>
      </c>
      <c r="K4" s="6">
        <f>INDEX(MINVERSE($D$8:$F$10),1,2)</f>
        <v>0.035059416533021526</v>
      </c>
      <c r="L4" s="6">
        <f>INDEX(MINVERSE($D$8:$F$10),1,3)</f>
        <v>-0.013341640282035286</v>
      </c>
      <c r="M4" s="6" t="s">
        <v>4</v>
      </c>
      <c r="N4" s="6"/>
      <c r="O4" s="19" t="s">
        <v>3</v>
      </c>
      <c r="P4" s="6">
        <f>INDEX(MMULT($D$4:$F$6,$J$4:$L$6),1,1)</f>
        <v>-0.3018467460881878</v>
      </c>
      <c r="Q4" s="6">
        <f>INDEX(MMULT($D$4:$F$6,$J$4:$L$6),1,2)</f>
        <v>-0.7798188892443649</v>
      </c>
      <c r="R4" s="6">
        <f>INDEX(MMULT($D$4:$F$6,$J$4:$L$6),1,3)</f>
        <v>0.548524288917887</v>
      </c>
      <c r="S4" s="1" t="s">
        <v>4</v>
      </c>
      <c r="T4" s="1"/>
      <c r="U4" s="1"/>
      <c r="V4" s="1"/>
      <c r="W4" s="1"/>
    </row>
    <row r="5" spans="1:23" ht="14.25">
      <c r="A5" s="4" t="s">
        <v>7</v>
      </c>
      <c r="B5" s="4" t="s">
        <v>5</v>
      </c>
      <c r="C5" s="2" t="s">
        <v>3</v>
      </c>
      <c r="D5" s="6">
        <f>Data!R34</f>
        <v>0.10449136804448547</v>
      </c>
      <c r="E5" s="6">
        <f>Data!R35</f>
        <v>-0.6159771756748462</v>
      </c>
      <c r="F5" s="6">
        <f>Data!R36</f>
        <v>0.6310878285784338</v>
      </c>
      <c r="G5" s="6" t="s">
        <v>4</v>
      </c>
      <c r="H5" s="20" t="s">
        <v>6</v>
      </c>
      <c r="I5" s="19" t="s">
        <v>3</v>
      </c>
      <c r="J5" s="6">
        <f>INDEX(MINVERSE($D$8:$F$10),2,1)</f>
        <v>-0.558784533092625</v>
      </c>
      <c r="K5" s="6">
        <f>INDEX(MINVERSE($D$8:$F$10),2,2)</f>
        <v>-0.00994571092083947</v>
      </c>
      <c r="L5" s="6">
        <f>INDEX(MINVERSE($D$8:$F$10),2,3)</f>
        <v>1.0065186107465212</v>
      </c>
      <c r="M5" s="6" t="s">
        <v>4</v>
      </c>
      <c r="N5" s="20" t="s">
        <v>5</v>
      </c>
      <c r="O5" s="19" t="s">
        <v>3</v>
      </c>
      <c r="P5" s="6">
        <f>INDEX(MMULT($D$4:$F$6,$J$4:$L$6),2,1)</f>
        <v>0.4837032176775804</v>
      </c>
      <c r="Q5" s="6">
        <f>INDEX(MMULT($D$4:$F$6,$J$4:$L$6),2,2)</f>
        <v>-0.6209879848480279</v>
      </c>
      <c r="R5" s="6">
        <f>INDEX(MMULT($D$4:$F$6,$J$4:$L$6),2,3)</f>
        <v>-0.6169208997572753</v>
      </c>
      <c r="S5" s="1" t="s">
        <v>4</v>
      </c>
      <c r="T5" s="1"/>
      <c r="U5" s="1"/>
      <c r="V5" s="1"/>
      <c r="W5" s="1"/>
    </row>
    <row r="6" spans="1:23" ht="14.25">
      <c r="A6" s="1"/>
      <c r="B6" s="1"/>
      <c r="C6" s="2" t="s">
        <v>3</v>
      </c>
      <c r="D6" s="6">
        <f>Data!S34</f>
        <v>0.9943041350601968</v>
      </c>
      <c r="E6" s="6">
        <f>Data!S35</f>
        <v>0.5742648427895334</v>
      </c>
      <c r="F6" s="6">
        <f>Data!S36</f>
        <v>-0.04997471219606093</v>
      </c>
      <c r="G6" s="6" t="s">
        <v>4</v>
      </c>
      <c r="H6" s="6"/>
      <c r="I6" s="19" t="s">
        <v>3</v>
      </c>
      <c r="J6" s="6">
        <f>INDEX(MINVERSE($D$8:$F$10),3,1)</f>
        <v>0.030536115668283133</v>
      </c>
      <c r="K6" s="6">
        <f>INDEX(MINVERSE($D$8:$F$10),3,2)</f>
        <v>-0.9995086160802207</v>
      </c>
      <c r="L6" s="6">
        <f>INDEX(MINVERSE($D$8:$F$10),3,3)</f>
        <v>0.007076158653896408</v>
      </c>
      <c r="M6" s="6" t="s">
        <v>4</v>
      </c>
      <c r="N6" s="6"/>
      <c r="O6" s="19" t="s">
        <v>3</v>
      </c>
      <c r="P6" s="6">
        <f>INDEX(MMULT($D$4:$F$6,$J$4:$L$6),3,1)</f>
        <v>0.8216867070994798</v>
      </c>
      <c r="Q6" s="6">
        <f>INDEX(MMULT($D$4:$F$6,$J$4:$L$6),3,2)</f>
        <v>0.07909840613928729</v>
      </c>
      <c r="R6" s="6">
        <f>INDEX(MMULT($D$4:$F$6,$J$4:$L$6),3,3)</f>
        <v>0.564388974671995</v>
      </c>
      <c r="S6" s="1" t="s">
        <v>4</v>
      </c>
      <c r="T6" s="1"/>
      <c r="U6" s="1"/>
      <c r="V6" s="1"/>
      <c r="W6" s="1"/>
    </row>
    <row r="7" spans="1:23" ht="14.25">
      <c r="A7" s="1"/>
      <c r="B7" s="1"/>
      <c r="C7" s="2"/>
      <c r="D7" s="6"/>
      <c r="E7" s="6"/>
      <c r="F7" s="6"/>
      <c r="G7" s="6"/>
      <c r="H7" s="6"/>
      <c r="I7" s="6"/>
      <c r="J7" s="6"/>
      <c r="K7" s="6"/>
      <c r="L7" s="6"/>
      <c r="M7" s="6"/>
      <c r="N7" s="6"/>
      <c r="O7" s="6"/>
      <c r="P7" s="6"/>
      <c r="Q7" s="6"/>
      <c r="R7" s="6"/>
      <c r="S7" s="1"/>
      <c r="T7" s="1"/>
      <c r="U7" s="1"/>
      <c r="V7" s="1"/>
      <c r="W7" s="1"/>
    </row>
    <row r="8" spans="1:23" ht="14.25">
      <c r="A8" s="1"/>
      <c r="B8" s="4" t="s">
        <v>0</v>
      </c>
      <c r="C8" s="2" t="s">
        <v>3</v>
      </c>
      <c r="D8" s="6">
        <f>Data!N34</f>
        <v>0.8737786086221537</v>
      </c>
      <c r="E8" s="6">
        <f>Data!N35</f>
        <v>0.011367461427012776</v>
      </c>
      <c r="F8" s="6">
        <f>Data!N36</f>
        <v>0.030536115668283133</v>
      </c>
      <c r="G8" s="6" t="s">
        <v>4</v>
      </c>
      <c r="H8" s="6"/>
      <c r="I8" s="6"/>
      <c r="J8" s="6"/>
      <c r="K8" s="6"/>
      <c r="L8" s="6"/>
      <c r="M8" s="6"/>
      <c r="N8" s="6"/>
      <c r="O8" s="6"/>
      <c r="P8" s="6"/>
      <c r="Q8" s="6"/>
      <c r="R8" s="6"/>
      <c r="S8" s="1"/>
      <c r="T8" s="1"/>
      <c r="U8" s="1"/>
      <c r="V8" s="1"/>
      <c r="W8" s="1"/>
    </row>
    <row r="9" spans="1:23" ht="14.25">
      <c r="A9" s="1"/>
      <c r="B9" s="4" t="s">
        <v>1</v>
      </c>
      <c r="C9" s="2" t="s">
        <v>3</v>
      </c>
      <c r="D9" s="6">
        <f>Data!O34</f>
        <v>0.030131304400444228</v>
      </c>
      <c r="E9" s="6">
        <f>Data!O35</f>
        <v>0.0074262735810870315</v>
      </c>
      <c r="F9" s="6">
        <f>Data!O36</f>
        <v>-0.9995086160802208</v>
      </c>
      <c r="G9" s="6" t="s">
        <v>4</v>
      </c>
      <c r="H9" s="6"/>
      <c r="I9" s="6"/>
      <c r="J9" s="6"/>
      <c r="K9" s="6"/>
      <c r="L9" s="6" t="s">
        <v>60</v>
      </c>
      <c r="M9" s="6"/>
      <c r="N9" s="20" t="s">
        <v>59</v>
      </c>
      <c r="O9" s="6"/>
      <c r="P9" s="6">
        <f>MDETERM(P4:R6)</f>
        <v>1.000127290771529</v>
      </c>
      <c r="Q9" s="6"/>
      <c r="R9" s="6"/>
      <c r="S9" s="1"/>
      <c r="T9" s="1"/>
      <c r="U9" s="1"/>
      <c r="V9" s="1"/>
      <c r="W9" s="1"/>
    </row>
    <row r="10" spans="1:23" ht="14.25">
      <c r="A10" s="1"/>
      <c r="B10" s="4" t="s">
        <v>2</v>
      </c>
      <c r="C10" s="2" t="s">
        <v>3</v>
      </c>
      <c r="D10" s="6">
        <f>Data!P34</f>
        <v>0.4853895833343159</v>
      </c>
      <c r="E10" s="6">
        <f>Data!P35</f>
        <v>0.9999078113913323</v>
      </c>
      <c r="F10" s="6">
        <f>Data!P36</f>
        <v>0.007076158653896409</v>
      </c>
      <c r="G10" s="6" t="s">
        <v>4</v>
      </c>
      <c r="H10" s="6"/>
      <c r="I10" s="6"/>
      <c r="J10" s="6"/>
      <c r="K10" s="6"/>
      <c r="L10" s="6"/>
      <c r="M10" s="6"/>
      <c r="N10" s="6"/>
      <c r="O10" s="6"/>
      <c r="P10" s="6"/>
      <c r="Q10" s="6"/>
      <c r="R10" s="6"/>
      <c r="S10" s="1"/>
      <c r="T10" s="1"/>
      <c r="U10" s="1"/>
      <c r="V10" s="1"/>
      <c r="W10" s="1"/>
    </row>
    <row r="11" spans="1:23" ht="14.25">
      <c r="A11" s="1"/>
      <c r="B11" s="1"/>
      <c r="C11" s="1"/>
      <c r="D11" s="6"/>
      <c r="E11" s="6"/>
      <c r="F11" s="6"/>
      <c r="G11" s="6"/>
      <c r="H11" s="6"/>
      <c r="I11" s="6"/>
      <c r="J11" s="6"/>
      <c r="K11" s="6"/>
      <c r="L11" s="6"/>
      <c r="M11" s="6"/>
      <c r="N11" s="6"/>
      <c r="O11" s="6"/>
      <c r="P11" s="6"/>
      <c r="Q11" s="6"/>
      <c r="R11" s="6"/>
      <c r="S11" s="1"/>
      <c r="T11" s="1"/>
      <c r="U11" s="1"/>
      <c r="V11" s="1"/>
      <c r="W11" s="1"/>
    </row>
    <row r="12" spans="1:23" ht="14.25">
      <c r="A12" s="1"/>
      <c r="B12" s="1"/>
      <c r="C12" s="1"/>
      <c r="D12" s="6"/>
      <c r="E12" s="6"/>
      <c r="F12" s="6"/>
      <c r="G12" s="6"/>
      <c r="H12" s="6"/>
      <c r="I12" s="6"/>
      <c r="J12" s="6"/>
      <c r="K12" s="6"/>
      <c r="L12" s="6"/>
      <c r="M12" s="6"/>
      <c r="N12" s="6"/>
      <c r="O12" s="6"/>
      <c r="P12" s="6"/>
      <c r="Q12" s="6"/>
      <c r="R12" s="6"/>
      <c r="S12" s="1"/>
      <c r="T12" s="1"/>
      <c r="U12" s="1"/>
      <c r="V12" s="1"/>
      <c r="W12" s="1"/>
    </row>
    <row r="13" spans="1:23" ht="14.25">
      <c r="A13" s="1"/>
      <c r="B13" s="1"/>
      <c r="C13" s="1"/>
      <c r="D13" s="6"/>
      <c r="E13" s="6"/>
      <c r="F13" s="6"/>
      <c r="G13" s="6"/>
      <c r="H13" s="6"/>
      <c r="I13" s="6"/>
      <c r="J13" s="6"/>
      <c r="K13" s="6"/>
      <c r="L13" s="6"/>
      <c r="M13" s="6"/>
      <c r="N13" s="6"/>
      <c r="O13" s="6"/>
      <c r="P13" s="6"/>
      <c r="Q13" s="6"/>
      <c r="R13" s="6"/>
      <c r="S13" s="1"/>
      <c r="T13" s="1"/>
      <c r="U13" s="1"/>
      <c r="V13" s="1"/>
      <c r="W13" s="1"/>
    </row>
    <row r="14" spans="1:23" ht="14.25">
      <c r="A14" s="1"/>
      <c r="B14" s="1"/>
      <c r="C14" s="1"/>
      <c r="D14" s="6"/>
      <c r="E14" s="6"/>
      <c r="F14" s="6"/>
      <c r="G14" s="6"/>
      <c r="H14" s="6"/>
      <c r="I14" s="6"/>
      <c r="J14" s="6"/>
      <c r="K14" s="6"/>
      <c r="L14" s="6"/>
      <c r="M14" s="6"/>
      <c r="N14" s="6"/>
      <c r="O14" s="6"/>
      <c r="P14" s="6"/>
      <c r="Q14" s="6"/>
      <c r="R14" s="6"/>
      <c r="S14" s="1"/>
      <c r="T14" s="1"/>
      <c r="U14" s="1"/>
      <c r="V14" s="1"/>
      <c r="W14" s="1"/>
    </row>
    <row r="15" spans="1:23" ht="14.25">
      <c r="A15" s="1"/>
      <c r="B15" s="1"/>
      <c r="C15" s="1"/>
      <c r="D15" s="1"/>
      <c r="E15" s="1"/>
      <c r="F15" s="1"/>
      <c r="G15" s="1"/>
      <c r="H15" s="1"/>
      <c r="I15" s="1"/>
      <c r="J15" s="1"/>
      <c r="K15" s="1"/>
      <c r="L15" s="1"/>
      <c r="M15" s="1"/>
      <c r="N15" s="1"/>
      <c r="O15" s="1"/>
      <c r="P15" s="1"/>
      <c r="Q15" s="1"/>
      <c r="R15" s="1"/>
      <c r="S15" s="1"/>
      <c r="T15" s="1"/>
      <c r="U15" s="1"/>
      <c r="V15" s="1"/>
      <c r="W15" s="1"/>
    </row>
    <row r="16" spans="1:23" ht="14.25">
      <c r="A16" s="1"/>
      <c r="B16" s="1"/>
      <c r="C16" s="1"/>
      <c r="D16" s="1"/>
      <c r="E16" s="1"/>
      <c r="F16" s="1"/>
      <c r="G16" s="1"/>
      <c r="H16" s="1"/>
      <c r="I16" s="1"/>
      <c r="J16" s="1"/>
      <c r="K16" s="1"/>
      <c r="L16" s="1"/>
      <c r="M16" s="1"/>
      <c r="N16" s="1"/>
      <c r="O16" s="1"/>
      <c r="P16" s="1"/>
      <c r="Q16" s="1"/>
      <c r="R16" s="1"/>
      <c r="S16" s="1"/>
      <c r="T16" s="1"/>
      <c r="U16" s="1"/>
      <c r="V16" s="1"/>
      <c r="W16" s="1"/>
    </row>
    <row r="17" spans="1:23" ht="14.25">
      <c r="A17" s="1"/>
      <c r="B17" s="1"/>
      <c r="C17" s="1"/>
      <c r="D17" s="1"/>
      <c r="E17" s="1"/>
      <c r="F17" s="1"/>
      <c r="G17" s="1"/>
      <c r="H17" s="1"/>
      <c r="I17" s="1"/>
      <c r="J17" s="1"/>
      <c r="K17" s="1"/>
      <c r="L17" s="1"/>
      <c r="M17" s="1"/>
      <c r="N17" s="1"/>
      <c r="O17" s="1"/>
      <c r="P17" s="1"/>
      <c r="Q17" s="1"/>
      <c r="R17" s="1"/>
      <c r="S17" s="1"/>
      <c r="T17" s="1"/>
      <c r="U17" s="1"/>
      <c r="V17" s="1"/>
      <c r="W17" s="1"/>
    </row>
    <row r="18" spans="1:23" ht="14.25">
      <c r="A18" s="1"/>
      <c r="B18" s="1"/>
      <c r="C18" s="1"/>
      <c r="D18" s="1"/>
      <c r="E18" s="1"/>
      <c r="F18" s="1"/>
      <c r="G18" s="1"/>
      <c r="H18" s="1"/>
      <c r="I18" s="1"/>
      <c r="J18" s="1"/>
      <c r="K18" s="1"/>
      <c r="L18" s="1"/>
      <c r="M18" s="1"/>
      <c r="N18" s="1"/>
      <c r="O18" s="1"/>
      <c r="P18" s="1"/>
      <c r="Q18" s="1"/>
      <c r="R18" s="1"/>
      <c r="S18" s="1"/>
      <c r="T18" s="1"/>
      <c r="U18" s="1"/>
      <c r="V18" s="1"/>
      <c r="W18" s="1"/>
    </row>
    <row r="19" spans="1:23" ht="14.25">
      <c r="A19" s="1"/>
      <c r="B19" s="1"/>
      <c r="C19" s="1"/>
      <c r="D19" s="1"/>
      <c r="E19" s="1"/>
      <c r="F19" s="1"/>
      <c r="G19" s="1"/>
      <c r="H19" s="1"/>
      <c r="I19" s="1"/>
      <c r="J19" s="1"/>
      <c r="K19" s="1"/>
      <c r="L19" s="1"/>
      <c r="M19" s="1"/>
      <c r="N19" s="1"/>
      <c r="O19" s="1"/>
      <c r="P19" s="1"/>
      <c r="Q19" s="1"/>
      <c r="R19" s="1"/>
      <c r="S19" s="1"/>
      <c r="T19" s="1"/>
      <c r="U19" s="1"/>
      <c r="V19" s="1"/>
      <c r="W19" s="1"/>
    </row>
    <row r="20" spans="1:23" ht="14.25">
      <c r="A20" s="1"/>
      <c r="B20" s="1"/>
      <c r="C20" s="1"/>
      <c r="D20" s="1"/>
      <c r="E20" s="1"/>
      <c r="F20" s="1"/>
      <c r="G20" s="1"/>
      <c r="H20" s="1"/>
      <c r="I20" s="1"/>
      <c r="J20" s="1"/>
      <c r="K20" s="1"/>
      <c r="L20" s="1"/>
      <c r="M20" s="1"/>
      <c r="N20" s="1"/>
      <c r="O20" s="1"/>
      <c r="P20" s="1"/>
      <c r="Q20" s="1"/>
      <c r="R20" s="1"/>
      <c r="S20" s="1"/>
      <c r="T20" s="1"/>
      <c r="U20" s="1"/>
      <c r="V20" s="1"/>
      <c r="W20" s="1"/>
    </row>
    <row r="21" spans="1:23" ht="14.25">
      <c r="A21" s="1"/>
      <c r="B21" s="1"/>
      <c r="C21" s="1"/>
      <c r="D21" s="1"/>
      <c r="E21" s="1"/>
      <c r="F21" s="1"/>
      <c r="G21" s="1"/>
      <c r="H21" s="1"/>
      <c r="I21" s="1"/>
      <c r="J21" s="1"/>
      <c r="K21" s="1"/>
      <c r="L21" s="1"/>
      <c r="M21" s="1"/>
      <c r="N21" s="1"/>
      <c r="O21" s="1"/>
      <c r="P21" s="1"/>
      <c r="Q21" s="1"/>
      <c r="R21" s="1"/>
      <c r="S21" s="1"/>
      <c r="T21" s="1"/>
      <c r="U21" s="1"/>
      <c r="V21" s="1"/>
      <c r="W21" s="1"/>
    </row>
    <row r="22" spans="1:23" ht="14.25">
      <c r="A22" s="1"/>
      <c r="B22" s="1"/>
      <c r="C22" s="1"/>
      <c r="D22" s="1"/>
      <c r="E22" s="1"/>
      <c r="F22" s="1"/>
      <c r="G22" s="1"/>
      <c r="H22" s="1"/>
      <c r="I22" s="1"/>
      <c r="J22" s="1"/>
      <c r="K22" s="1"/>
      <c r="L22" s="1"/>
      <c r="M22" s="1"/>
      <c r="N22" s="1"/>
      <c r="O22" s="1"/>
      <c r="P22" s="1"/>
      <c r="Q22" s="1"/>
      <c r="R22" s="1"/>
      <c r="S22" s="1"/>
      <c r="T22" s="1"/>
      <c r="U22" s="1"/>
      <c r="V22" s="1"/>
      <c r="W22" s="1"/>
    </row>
    <row r="23" spans="1:23" ht="14.25">
      <c r="A23" s="1"/>
      <c r="B23" s="1"/>
      <c r="C23" s="1"/>
      <c r="D23" s="1"/>
      <c r="E23" s="1"/>
      <c r="F23" s="1"/>
      <c r="G23" s="1"/>
      <c r="H23" s="1"/>
      <c r="I23" s="1"/>
      <c r="J23" s="1"/>
      <c r="K23" s="1"/>
      <c r="L23" s="1"/>
      <c r="M23" s="1"/>
      <c r="N23" s="1"/>
      <c r="O23" s="1"/>
      <c r="P23" s="1"/>
      <c r="Q23" s="1"/>
      <c r="R23" s="1"/>
      <c r="S23" s="1"/>
      <c r="T23" s="1"/>
      <c r="U23" s="1"/>
      <c r="V23" s="1"/>
      <c r="W23" s="1"/>
    </row>
    <row r="24" spans="1:23" ht="14.25">
      <c r="A24" s="1"/>
      <c r="B24" s="1"/>
      <c r="C24" s="1"/>
      <c r="D24" s="1"/>
      <c r="E24" s="1"/>
      <c r="F24" s="1"/>
      <c r="G24" s="1"/>
      <c r="H24" s="1"/>
      <c r="I24" s="1"/>
      <c r="J24" s="1"/>
      <c r="K24" s="1"/>
      <c r="L24" s="1"/>
      <c r="M24" s="1"/>
      <c r="N24" s="1"/>
      <c r="O24" s="1"/>
      <c r="P24" s="1"/>
      <c r="Q24" s="1"/>
      <c r="R24" s="1"/>
      <c r="S24" s="1"/>
      <c r="T24" s="1"/>
      <c r="U24" s="1"/>
      <c r="V24" s="1"/>
      <c r="W24" s="1"/>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6:L16"/>
  <sheetViews>
    <sheetView workbookViewId="0" topLeftCell="A1">
      <selection activeCell="A9" sqref="A9"/>
    </sheetView>
  </sheetViews>
  <sheetFormatPr defaultColWidth="9.00390625" defaultRowHeight="13.5"/>
  <sheetData>
    <row r="6" spans="6:12" ht="13.5">
      <c r="F6" s="24" t="s">
        <v>72</v>
      </c>
      <c r="G6" s="24"/>
      <c r="H6" s="24"/>
      <c r="J6" s="25" t="s">
        <v>73</v>
      </c>
      <c r="K6" s="25"/>
      <c r="L6" s="25"/>
    </row>
    <row r="7" spans="3:12" ht="13.5">
      <c r="C7" t="s">
        <v>74</v>
      </c>
      <c r="D7" t="s">
        <v>75</v>
      </c>
      <c r="E7" t="s">
        <v>76</v>
      </c>
      <c r="F7" s="24" t="s">
        <v>77</v>
      </c>
      <c r="G7" s="24" t="s">
        <v>78</v>
      </c>
      <c r="H7" s="24" t="s">
        <v>79</v>
      </c>
      <c r="J7" s="25" t="s">
        <v>80</v>
      </c>
      <c r="K7" s="25" t="s">
        <v>81</v>
      </c>
      <c r="L7" s="25" t="s">
        <v>82</v>
      </c>
    </row>
    <row r="8" spans="3:12" ht="13.5">
      <c r="C8" t="s">
        <v>64</v>
      </c>
      <c r="D8">
        <v>0.3158796296296296</v>
      </c>
      <c r="E8">
        <v>31.881388888888893</v>
      </c>
      <c r="F8" s="24">
        <v>0.003969641203703691</v>
      </c>
      <c r="G8" s="24">
        <v>288.294683</v>
      </c>
      <c r="H8" s="24">
        <v>149.654968</v>
      </c>
      <c r="J8" s="25">
        <v>0.0034944212962962715</v>
      </c>
      <c r="K8" s="25">
        <v>288.155379</v>
      </c>
      <c r="L8" s="25">
        <v>149.635355</v>
      </c>
    </row>
    <row r="9" spans="2:12" ht="13.5">
      <c r="B9" t="s">
        <v>83</v>
      </c>
      <c r="C9" t="s">
        <v>65</v>
      </c>
      <c r="D9">
        <v>0.6492129629629629</v>
      </c>
      <c r="E9">
        <v>26.695833333333333</v>
      </c>
      <c r="F9" s="24">
        <v>0.006521458333333309</v>
      </c>
      <c r="G9" s="24">
        <v>227.745166</v>
      </c>
      <c r="H9" s="24">
        <v>28.712833</v>
      </c>
      <c r="J9" s="25">
        <v>0.006180694444444472</v>
      </c>
      <c r="K9" s="25">
        <v>228.081665</v>
      </c>
      <c r="L9" s="25">
        <v>28.698456</v>
      </c>
    </row>
    <row r="10" spans="2:12" ht="13.5">
      <c r="B10" t="s">
        <v>84</v>
      </c>
      <c r="C10" t="s">
        <v>66</v>
      </c>
      <c r="D10">
        <v>0.42263888888888884</v>
      </c>
      <c r="E10">
        <v>11.946666666666667</v>
      </c>
      <c r="F10" s="24">
        <v>0.0017095601851851655</v>
      </c>
      <c r="G10" s="24">
        <v>327.621896</v>
      </c>
      <c r="H10" s="24">
        <v>169.288716</v>
      </c>
      <c r="J10" s="25">
        <v>0.0006144675925925522</v>
      </c>
      <c r="K10" s="25">
        <v>328.007576</v>
      </c>
      <c r="L10" s="25">
        <v>169.311805</v>
      </c>
    </row>
    <row r="11" spans="3:12" ht="13.5">
      <c r="C11" t="s">
        <v>67</v>
      </c>
      <c r="D11">
        <v>0.4571875</v>
      </c>
      <c r="E11">
        <v>8.123333333333333</v>
      </c>
      <c r="F11" s="24">
        <v>0.0025567361111111324</v>
      </c>
      <c r="G11" s="24">
        <v>339.72162000000003</v>
      </c>
      <c r="H11" s="24">
        <v>173.051963</v>
      </c>
      <c r="J11" s="25">
        <v>0.002217465277777777</v>
      </c>
      <c r="K11" s="25">
        <v>339.854035</v>
      </c>
      <c r="L11" s="25">
        <v>173.261089</v>
      </c>
    </row>
    <row r="12" spans="3:12" ht="13.5">
      <c r="C12" t="s">
        <v>68</v>
      </c>
      <c r="D12">
        <v>0.558425925925926</v>
      </c>
      <c r="E12">
        <v>54.900555555555556</v>
      </c>
      <c r="F12" s="24">
        <v>0.005343958333333342</v>
      </c>
      <c r="G12" s="24">
        <v>195.295844</v>
      </c>
      <c r="H12" s="24">
        <v>56.878989</v>
      </c>
      <c r="J12" s="25">
        <v>0.004856678240740721</v>
      </c>
      <c r="K12" s="25">
        <v>196.054652</v>
      </c>
      <c r="L12" s="25">
        <v>57.134614</v>
      </c>
    </row>
    <row r="13" spans="3:12" ht="13.5">
      <c r="C13" t="s">
        <v>69</v>
      </c>
      <c r="D13">
        <v>0.5943518518518519</v>
      </c>
      <c r="E13">
        <v>19.157222222222224</v>
      </c>
      <c r="F13" s="24">
        <v>0.007339074074074047</v>
      </c>
      <c r="G13" s="24">
        <v>207.662609</v>
      </c>
      <c r="H13" s="24">
        <v>21.216445</v>
      </c>
      <c r="J13" s="25">
        <v>0.007037476851851857</v>
      </c>
      <c r="K13" s="25">
        <v>207.831481</v>
      </c>
      <c r="L13" s="25">
        <v>21.329269</v>
      </c>
    </row>
    <row r="14" spans="3:12" ht="13.5">
      <c r="C14" t="s">
        <v>70</v>
      </c>
      <c r="D14">
        <v>0.5593171296296297</v>
      </c>
      <c r="E14">
        <v>-11.1184</v>
      </c>
      <c r="F14" s="24">
        <v>0.008587627314814788</v>
      </c>
      <c r="G14" s="24">
        <v>194.682841</v>
      </c>
      <c r="H14" s="24">
        <v>350.90508</v>
      </c>
      <c r="J14" s="25">
        <v>0.007886273148148187</v>
      </c>
      <c r="K14" s="25">
        <v>194.643874</v>
      </c>
      <c r="L14" s="25">
        <v>351.067193</v>
      </c>
    </row>
    <row r="15" spans="3:12" ht="13.5">
      <c r="C15" t="s">
        <v>71</v>
      </c>
      <c r="D15">
        <v>0.10798611111111112</v>
      </c>
      <c r="E15">
        <v>89.28611111111111</v>
      </c>
      <c r="F15" s="24">
        <v>0.010145416666666648</v>
      </c>
      <c r="G15" s="24">
        <v>209.156084</v>
      </c>
      <c r="H15" s="24">
        <v>92.605412</v>
      </c>
      <c r="J15" s="25">
        <v>0.009437106481481503</v>
      </c>
      <c r="K15" s="25">
        <v>184.006276</v>
      </c>
      <c r="L15" s="25">
        <v>93.364542</v>
      </c>
    </row>
    <row r="16" spans="3:12" ht="13.5">
      <c r="C16" t="s">
        <v>67</v>
      </c>
      <c r="D16">
        <v>0.4571875</v>
      </c>
      <c r="E16">
        <v>8.123333333333333</v>
      </c>
      <c r="F16" s="24">
        <v>0.011419131944444416</v>
      </c>
      <c r="G16" s="24">
        <v>336.533825</v>
      </c>
      <c r="H16" s="24">
        <v>173.07533</v>
      </c>
      <c r="J16" s="25">
        <v>0.011023182870370352</v>
      </c>
      <c r="K16" s="25">
        <v>336.66652</v>
      </c>
      <c r="L16" s="25">
        <v>173.259845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toshimi taki</dc:creator>
  <cp:keywords/>
  <dc:description/>
  <cp:lastModifiedBy>toshimi taki</cp:lastModifiedBy>
  <cp:lastPrinted>2004-03-20T05:49:34Z</cp:lastPrinted>
  <dcterms:created xsi:type="dcterms:W3CDTF">2001-04-18T13:53:05Z</dcterms:created>
  <dcterms:modified xsi:type="dcterms:W3CDTF">2004-03-22T13:36:40Z</dcterms:modified>
  <cp:category/>
  <cp:version/>
  <cp:contentType/>
  <cp:contentStatus/>
</cp:coreProperties>
</file>